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155" windowHeight="6975"/>
  </bookViews>
  <sheets>
    <sheet name="TABEL 12. 2016 - Juni 20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 localSheetId="0">#REF!</definedName>
    <definedName name="Excel_BuiltIn_Print_Area_30" localSheetId="0">#REF!</definedName>
    <definedName name="Excel_BuiltIn_Print_Area_30_1" localSheetId="0">#REF!</definedName>
    <definedName name="_xlnm.Print_Area" localSheetId="0">'TABEL 12. 2016 - Juni 2020'!$A$1:$T$31</definedName>
  </definedNames>
  <calcPr calcId="144525"/>
</workbook>
</file>

<file path=xl/calcChain.xml><?xml version="1.0" encoding="utf-8"?>
<calcChain xmlns="http://schemas.openxmlformats.org/spreadsheetml/2006/main">
  <c r="P41" i="1" l="1"/>
  <c r="T40" i="1"/>
  <c r="U35" i="1"/>
  <c r="U34" i="1"/>
  <c r="J34" i="1"/>
  <c r="S31" i="1"/>
  <c r="Q31" i="1"/>
  <c r="F31" i="1"/>
  <c r="S30" i="1"/>
  <c r="Q30" i="1"/>
  <c r="S28" i="1"/>
  <c r="P28" i="1"/>
  <c r="F28" i="1"/>
  <c r="S26" i="1"/>
  <c r="Q26" i="1"/>
  <c r="I26" i="1"/>
  <c r="F26" i="1"/>
  <c r="M25" i="1"/>
  <c r="F25" i="1"/>
  <c r="D25" i="1"/>
  <c r="X24" i="1"/>
  <c r="X25" i="1" s="1"/>
  <c r="I24" i="1"/>
  <c r="H24" i="1"/>
  <c r="X23" i="1"/>
  <c r="L23" i="1"/>
  <c r="J23" i="1"/>
  <c r="F23" i="1"/>
  <c r="E23" i="1"/>
  <c r="E25" i="1" s="1"/>
  <c r="D23" i="1"/>
  <c r="R22" i="1"/>
  <c r="P22" i="1"/>
  <c r="I22" i="1"/>
  <c r="H22" i="1"/>
  <c r="R21" i="1"/>
  <c r="P21" i="1"/>
  <c r="F21" i="1"/>
  <c r="C21" i="1"/>
  <c r="C23" i="1" s="1"/>
  <c r="C25" i="1" s="1"/>
  <c r="R20" i="1"/>
  <c r="P20" i="1"/>
  <c r="R19" i="1"/>
  <c r="P19" i="1"/>
  <c r="AA18" i="1"/>
  <c r="R18" i="1"/>
  <c r="P18" i="1"/>
  <c r="R17" i="1"/>
  <c r="P17" i="1"/>
  <c r="AA16" i="1"/>
  <c r="R16" i="1"/>
  <c r="P16" i="1"/>
  <c r="N16" i="1"/>
  <c r="I16" i="1"/>
  <c r="H16" i="1"/>
  <c r="AA15" i="1"/>
  <c r="R15" i="1"/>
  <c r="P15" i="1"/>
  <c r="I15" i="1"/>
  <c r="H15" i="1"/>
  <c r="AA14" i="1"/>
  <c r="R14" i="1"/>
  <c r="P14" i="1"/>
  <c r="AA13" i="1"/>
  <c r="R13" i="1"/>
  <c r="P13" i="1"/>
  <c r="AA12" i="1"/>
  <c r="R12" i="1"/>
  <c r="P12" i="1"/>
  <c r="I12" i="1"/>
  <c r="H12" i="1"/>
  <c r="AA11" i="1"/>
  <c r="R11" i="1"/>
  <c r="P11" i="1"/>
  <c r="I11" i="1"/>
  <c r="H11" i="1"/>
  <c r="AA10" i="1"/>
  <c r="R10" i="1"/>
  <c r="P10" i="1"/>
  <c r="R9" i="1"/>
  <c r="P9" i="1"/>
  <c r="N9" i="1"/>
  <c r="AA9" i="1" s="1"/>
  <c r="I9" i="1"/>
  <c r="H9" i="1"/>
  <c r="AA8" i="1"/>
  <c r="R8" i="1"/>
  <c r="P8" i="1"/>
  <c r="H8" i="1"/>
  <c r="AA7" i="1"/>
  <c r="R7" i="1"/>
  <c r="P7" i="1"/>
  <c r="N7" i="1"/>
  <c r="N23" i="1" s="1"/>
  <c r="O25" i="1" s="1"/>
  <c r="L7" i="1"/>
  <c r="I7" i="1"/>
  <c r="H7" i="1"/>
  <c r="AA6" i="1"/>
  <c r="R6" i="1"/>
  <c r="R23" i="1" s="1"/>
  <c r="S25" i="1" s="1"/>
  <c r="P6" i="1"/>
  <c r="P23" i="1" s="1"/>
  <c r="Q25" i="1" s="1"/>
  <c r="I6" i="1"/>
  <c r="I23" i="1" s="1"/>
  <c r="I25" i="1" s="1"/>
  <c r="H6" i="1"/>
  <c r="H23" i="1" s="1"/>
  <c r="H25" i="1" s="1"/>
  <c r="T41" i="1" l="1"/>
  <c r="T43" i="1" s="1"/>
  <c r="T26" i="1" s="1"/>
  <c r="K25" i="1"/>
  <c r="J35" i="1"/>
  <c r="L35" i="1" s="1"/>
</calcChain>
</file>

<file path=xl/sharedStrings.xml><?xml version="1.0" encoding="utf-8"?>
<sst xmlns="http://schemas.openxmlformats.org/spreadsheetml/2006/main" count="60" uniqueCount="60">
  <si>
    <t>TARGET DAN  REALISASI INVESTASI</t>
  </si>
  <si>
    <t xml:space="preserve">KABUPATEN CIREBON </t>
  </si>
  <si>
    <t xml:space="preserve">                                                   </t>
  </si>
  <si>
    <t>NO</t>
  </si>
  <si>
    <t>SEKTOR</t>
  </si>
  <si>
    <t xml:space="preserve">TAHUN </t>
  </si>
  <si>
    <t>TAHUN</t>
  </si>
  <si>
    <t>KETERANGAN</t>
  </si>
  <si>
    <t>Pertanian, Kehutanan, Perikanan &amp; Peternakan</t>
  </si>
  <si>
    <t>Target Investasi RPJMD</t>
  </si>
  <si>
    <t>12,13,23</t>
  </si>
  <si>
    <t>Pertambangan dan Penggalian</t>
  </si>
  <si>
    <t>Tahun 2016 - 2020</t>
  </si>
  <si>
    <t>Industri pengolahan</t>
  </si>
  <si>
    <t>Rp. 7.107.616.241.389,-</t>
  </si>
  <si>
    <t>10,11,19</t>
  </si>
  <si>
    <t>Pengadaan Listrik dan Gas</t>
  </si>
  <si>
    <t xml:space="preserve"> </t>
  </si>
  <si>
    <t>Pengadaan Air</t>
  </si>
  <si>
    <t>Konstruksi</t>
  </si>
  <si>
    <t>18,15</t>
  </si>
  <si>
    <t>Perdagangan Besar dan Eceran, Reparasi dan Perawatan Mobil dan Sepeda Motor</t>
  </si>
  <si>
    <t>8,9,24,27</t>
  </si>
  <si>
    <t xml:space="preserve">Tranportasi dan Pergudangan </t>
  </si>
  <si>
    <t xml:space="preserve">Penyediaan Akomodasi dan Makan Minum </t>
  </si>
  <si>
    <t>Informasi dan Komunikasi</t>
  </si>
  <si>
    <t>Jasa Keuangan</t>
  </si>
  <si>
    <t>Real Estate</t>
  </si>
  <si>
    <t>Jasa Perusahaan</t>
  </si>
  <si>
    <t>Administrasi Pemerintahan, Pertahanan dan Jaminan Sosial Wajib</t>
  </si>
  <si>
    <t>Jasa Pendidikan</t>
  </si>
  <si>
    <t xml:space="preserve">Jasa Kesehatan dan Kegiatan Sosial </t>
  </si>
  <si>
    <t>Jasa Lainnya</t>
  </si>
  <si>
    <t>3,28,29</t>
  </si>
  <si>
    <t>RPJMD</t>
  </si>
  <si>
    <t>Realisasi</t>
  </si>
  <si>
    <t>Realisasi Investasi</t>
  </si>
  <si>
    <t>Target</t>
  </si>
  <si>
    <t>Tahun 2016 - 30 Juni 2020</t>
  </si>
  <si>
    <t>Prosentase (%)</t>
  </si>
  <si>
    <t>Rp. 6.246.940.316.700</t>
  </si>
  <si>
    <t>Jumlah Investor</t>
  </si>
  <si>
    <t>PMA    = 7</t>
  </si>
  <si>
    <t>PMA    = 9</t>
  </si>
  <si>
    <t>PMA    = 1</t>
  </si>
  <si>
    <t>PMA     =  0</t>
  </si>
  <si>
    <t>PMA    = 2</t>
  </si>
  <si>
    <t>PMDN = 526</t>
  </si>
  <si>
    <t>PMDN = 529</t>
  </si>
  <si>
    <t>PMDN = 541</t>
  </si>
  <si>
    <t>PMDN   =  373</t>
  </si>
  <si>
    <t>PMDN  = 115</t>
  </si>
  <si>
    <t>Luas Lahan (m2)</t>
  </si>
  <si>
    <t xml:space="preserve">Tenaga Kerja </t>
  </si>
  <si>
    <t>ASING</t>
  </si>
  <si>
    <t>INDONESIA</t>
  </si>
  <si>
    <t>44.765.296.</t>
  </si>
  <si>
    <t>756.250.000.</t>
  </si>
  <si>
    <t>853.192.492.</t>
  </si>
  <si>
    <t>981.171.365.8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</si>
</sst>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Rp&quot;#,##0_);\(&quot;Rp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 * #,##0_ ;_ * \-#,##0_ ;_ * &quot;-&quot;_ ;_ @_ "/>
    <numFmt numFmtId="167" formatCode="_(&quot;$&quot;* #,##0.00_);_(&quot;$&quot;* \(#,##0.00\);_(&quot;$&quot;* &quot;-&quot;??_);_(@_)"/>
    <numFmt numFmtId="168" formatCode="_-* #,##0_-;\-* #,##0_-;_-* &quot;-&quot;_-;_-@_-"/>
  </numFmts>
  <fonts count="13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charset val="134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167" fontId="10" fillId="0" borderId="0" applyFont="0" applyFill="0" applyBorder="0" applyAlignment="0" applyProtection="0">
      <alignment vertical="center"/>
    </xf>
    <xf numFmtId="167" fontId="10" fillId="0" borderId="0" applyFont="0" applyFill="0" applyBorder="0" applyAlignment="0" applyProtection="0">
      <alignment vertical="center"/>
    </xf>
    <xf numFmtId="167" fontId="10" fillId="0" borderId="0" applyFont="0" applyFill="0" applyBorder="0" applyAlignment="0" applyProtection="0">
      <alignment vertical="center"/>
    </xf>
    <xf numFmtId="167" fontId="10" fillId="0" borderId="0" applyFont="0" applyFill="0" applyBorder="0" applyAlignment="0" applyProtection="0">
      <alignment vertical="center"/>
    </xf>
    <xf numFmtId="166" fontId="10" fillId="0" borderId="0" applyFont="0" applyFill="0" applyBorder="0" applyAlignment="0" applyProtection="0">
      <alignment vertical="center"/>
    </xf>
    <xf numFmtId="166" fontId="10" fillId="0" borderId="0" applyFont="0" applyFill="0" applyBorder="0" applyAlignment="0" applyProtection="0">
      <alignment vertical="center"/>
    </xf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1" applyNumberFormat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1" fillId="0" borderId="0" xfId="3"/>
    <xf numFmtId="0" fontId="1" fillId="0" borderId="0" xfId="3" applyAlignment="1">
      <alignment horizontal="left" vertical="top"/>
    </xf>
    <xf numFmtId="41" fontId="0" fillId="0" borderId="0" xfId="2" applyFont="1" applyAlignment="1">
      <alignment vertical="top"/>
    </xf>
    <xf numFmtId="0" fontId="1" fillId="0" borderId="0" xfId="3" applyAlignment="1">
      <alignment vertical="top"/>
    </xf>
    <xf numFmtId="0" fontId="2" fillId="0" borderId="5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3" fillId="0" borderId="7" xfId="3" applyFont="1" applyBorder="1" applyAlignment="1"/>
    <xf numFmtId="0" fontId="3" fillId="0" borderId="8" xfId="3" applyFont="1" applyBorder="1" applyAlignment="1"/>
    <xf numFmtId="0" fontId="3" fillId="0" borderId="9" xfId="3" applyFont="1" applyBorder="1" applyAlignment="1"/>
    <xf numFmtId="0" fontId="2" fillId="0" borderId="10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11" xfId="3" applyFont="1" applyBorder="1" applyAlignment="1">
      <alignment vertical="center"/>
    </xf>
    <xf numFmtId="0" fontId="2" fillId="0" borderId="12" xfId="3" applyFont="1" applyBorder="1" applyAlignment="1">
      <alignment vertical="center"/>
    </xf>
    <xf numFmtId="0" fontId="2" fillId="0" borderId="12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1" fillId="0" borderId="15" xfId="3" applyFont="1" applyBorder="1" applyAlignment="1">
      <alignment horizontal="center" vertical="top"/>
    </xf>
    <xf numFmtId="0" fontId="4" fillId="0" borderId="5" xfId="3" applyFont="1" applyBorder="1" applyAlignment="1">
      <alignment horizontal="left" vertical="top"/>
    </xf>
    <xf numFmtId="0" fontId="4" fillId="0" borderId="0" xfId="3" applyFont="1" applyBorder="1" applyAlignment="1">
      <alignment horizontal="left" vertical="top"/>
    </xf>
    <xf numFmtId="0" fontId="4" fillId="0" borderId="6" xfId="3" applyFont="1" applyBorder="1" applyAlignment="1">
      <alignment horizontal="left" vertical="top"/>
    </xf>
    <xf numFmtId="43" fontId="3" fillId="0" borderId="15" xfId="1" applyFont="1" applyBorder="1" applyAlignment="1">
      <alignment horizontal="right" vertical="top"/>
    </xf>
    <xf numFmtId="164" fontId="3" fillId="0" borderId="5" xfId="1" applyNumberFormat="1" applyFont="1" applyBorder="1" applyAlignment="1">
      <alignment horizontal="right" vertical="top"/>
    </xf>
    <xf numFmtId="164" fontId="3" fillId="0" borderId="6" xfId="1" applyNumberFormat="1" applyFont="1" applyBorder="1" applyAlignment="1">
      <alignment horizontal="right" vertical="top"/>
    </xf>
    <xf numFmtId="164" fontId="1" fillId="0" borderId="5" xfId="1" applyNumberFormat="1" applyFont="1" applyBorder="1" applyAlignment="1">
      <alignment horizontal="center" vertical="top"/>
    </xf>
    <xf numFmtId="164" fontId="1" fillId="0" borderId="6" xfId="1" applyNumberFormat="1" applyFont="1" applyBorder="1" applyAlignment="1">
      <alignment horizontal="center" vertical="top"/>
    </xf>
    <xf numFmtId="41" fontId="1" fillId="3" borderId="5" xfId="2" applyFont="1" applyFill="1" applyBorder="1" applyAlignment="1">
      <alignment horizontal="right" vertical="top"/>
    </xf>
    <xf numFmtId="41" fontId="1" fillId="3" borderId="0" xfId="2" applyFont="1" applyFill="1" applyBorder="1" applyAlignment="1">
      <alignment horizontal="right" vertical="top"/>
    </xf>
    <xf numFmtId="41" fontId="1" fillId="3" borderId="2" xfId="2" applyNumberFormat="1" applyFont="1" applyFill="1" applyBorder="1" applyAlignment="1">
      <alignment horizontal="center" vertical="top"/>
    </xf>
    <xf numFmtId="41" fontId="1" fillId="3" borderId="4" xfId="2" applyNumberFormat="1" applyFont="1" applyFill="1" applyBorder="1" applyAlignment="1">
      <alignment horizontal="center" vertical="top"/>
    </xf>
    <xf numFmtId="41" fontId="2" fillId="0" borderId="15" xfId="2" applyFont="1" applyBorder="1" applyAlignment="1">
      <alignment horizontal="center" vertical="top" wrapText="1"/>
    </xf>
    <xf numFmtId="41" fontId="1" fillId="0" borderId="0" xfId="3" applyNumberFormat="1" applyAlignment="1">
      <alignment vertical="top"/>
    </xf>
    <xf numFmtId="43" fontId="3" fillId="0" borderId="15" xfId="1" applyNumberFormat="1" applyFont="1" applyBorder="1" applyAlignment="1">
      <alignment horizontal="right" vertical="top"/>
    </xf>
    <xf numFmtId="164" fontId="1" fillId="0" borderId="5" xfId="1" applyNumberFormat="1" applyFont="1" applyBorder="1" applyAlignment="1">
      <alignment horizontal="right" vertical="top"/>
    </xf>
    <xf numFmtId="164" fontId="1" fillId="0" borderId="6" xfId="1" applyNumberFormat="1" applyFont="1" applyBorder="1" applyAlignment="1">
      <alignment horizontal="right" vertical="top"/>
    </xf>
    <xf numFmtId="41" fontId="1" fillId="3" borderId="5" xfId="1" applyNumberFormat="1" applyFont="1" applyFill="1" applyBorder="1" applyAlignment="1">
      <alignment horizontal="right" vertical="top"/>
    </xf>
    <xf numFmtId="0" fontId="1" fillId="3" borderId="0" xfId="1" applyNumberFormat="1" applyFont="1" applyFill="1" applyBorder="1" applyAlignment="1">
      <alignment horizontal="right" vertical="top"/>
    </xf>
    <xf numFmtId="41" fontId="1" fillId="3" borderId="5" xfId="1" applyNumberFormat="1" applyFont="1" applyFill="1" applyBorder="1" applyAlignment="1">
      <alignment horizontal="center" vertical="top"/>
    </xf>
    <xf numFmtId="41" fontId="1" fillId="3" borderId="6" xfId="1" applyNumberFormat="1" applyFont="1" applyFill="1" applyBorder="1" applyAlignment="1">
      <alignment horizontal="center" vertical="top"/>
    </xf>
    <xf numFmtId="0" fontId="2" fillId="0" borderId="15" xfId="1" applyNumberFormat="1" applyFont="1" applyBorder="1" applyAlignment="1">
      <alignment horizontal="center" vertical="top"/>
    </xf>
    <xf numFmtId="41" fontId="1" fillId="3" borderId="5" xfId="2" applyFont="1" applyFill="1" applyBorder="1" applyAlignment="1">
      <alignment horizontal="center" vertical="top"/>
    </xf>
    <xf numFmtId="41" fontId="1" fillId="3" borderId="6" xfId="2" applyFont="1" applyFill="1" applyBorder="1" applyAlignment="1">
      <alignment horizontal="center" vertical="top"/>
    </xf>
    <xf numFmtId="41" fontId="2" fillId="0" borderId="15" xfId="2" applyFont="1" applyBorder="1" applyAlignment="1">
      <alignment horizontal="center" vertical="top"/>
    </xf>
    <xf numFmtId="0" fontId="1" fillId="0" borderId="0" xfId="3" applyAlignment="1">
      <alignment horizontal="left"/>
    </xf>
    <xf numFmtId="0" fontId="1" fillId="3" borderId="6" xfId="1" applyNumberFormat="1" applyFont="1" applyFill="1" applyBorder="1" applyAlignment="1">
      <alignment horizontal="center" vertical="top"/>
    </xf>
    <xf numFmtId="0" fontId="3" fillId="0" borderId="15" xfId="1" applyNumberFormat="1" applyFont="1" applyBorder="1" applyAlignment="1">
      <alignment horizontal="right" vertical="top"/>
    </xf>
    <xf numFmtId="41" fontId="3" fillId="0" borderId="15" xfId="2" applyFont="1" applyBorder="1" applyAlignment="1">
      <alignment horizontal="right" vertical="top"/>
    </xf>
    <xf numFmtId="0" fontId="4" fillId="0" borderId="5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6" xfId="3" applyFont="1" applyBorder="1" applyAlignment="1">
      <alignment horizontal="left" vertical="top" wrapText="1"/>
    </xf>
    <xf numFmtId="0" fontId="1" fillId="0" borderId="0" xfId="3" applyAlignment="1">
      <alignment horizontal="left" vertical="center"/>
    </xf>
    <xf numFmtId="0" fontId="1" fillId="4" borderId="0" xfId="3" applyFill="1"/>
    <xf numFmtId="0" fontId="4" fillId="0" borderId="5" xfId="3" applyFont="1" applyBorder="1" applyAlignment="1">
      <alignment vertical="top"/>
    </xf>
    <xf numFmtId="43" fontId="1" fillId="0" borderId="0" xfId="1" applyNumberFormat="1" applyFont="1" applyBorder="1" applyAlignment="1">
      <alignment vertical="top"/>
    </xf>
    <xf numFmtId="43" fontId="1" fillId="0" borderId="6" xfId="1" applyNumberFormat="1" applyFont="1" applyBorder="1" applyAlignment="1">
      <alignment vertical="top"/>
    </xf>
    <xf numFmtId="0" fontId="1" fillId="3" borderId="14" xfId="3" applyFont="1" applyFill="1" applyBorder="1" applyAlignment="1">
      <alignment horizontal="center" vertical="top"/>
    </xf>
    <xf numFmtId="0" fontId="1" fillId="3" borderId="7" xfId="3" applyFont="1" applyFill="1" applyBorder="1" applyAlignment="1">
      <alignment horizontal="left" vertical="top"/>
    </xf>
    <xf numFmtId="0" fontId="1" fillId="3" borderId="8" xfId="3" applyFont="1" applyFill="1" applyBorder="1" applyAlignment="1">
      <alignment horizontal="left" vertical="top"/>
    </xf>
    <xf numFmtId="0" fontId="1" fillId="3" borderId="9" xfId="3" applyFont="1" applyFill="1" applyBorder="1" applyAlignment="1">
      <alignment horizontal="left" vertical="top"/>
    </xf>
    <xf numFmtId="43" fontId="3" fillId="3" borderId="14" xfId="1" applyFont="1" applyFill="1" applyBorder="1" applyAlignment="1">
      <alignment horizontal="right" vertical="top"/>
    </xf>
    <xf numFmtId="164" fontId="3" fillId="3" borderId="7" xfId="1" applyNumberFormat="1" applyFont="1" applyFill="1" applyBorder="1" applyAlignment="1">
      <alignment horizontal="right" vertical="top"/>
    </xf>
    <xf numFmtId="164" fontId="3" fillId="3" borderId="9" xfId="1" applyNumberFormat="1" applyFont="1" applyFill="1" applyBorder="1" applyAlignment="1">
      <alignment horizontal="right" vertical="top"/>
    </xf>
    <xf numFmtId="164" fontId="1" fillId="3" borderId="7" xfId="1" applyNumberFormat="1" applyFont="1" applyFill="1" applyBorder="1" applyAlignment="1">
      <alignment horizontal="center" vertical="top"/>
    </xf>
    <xf numFmtId="164" fontId="1" fillId="3" borderId="9" xfId="1" applyNumberFormat="1" applyFont="1" applyFill="1" applyBorder="1" applyAlignment="1">
      <alignment horizontal="center" vertical="top"/>
    </xf>
    <xf numFmtId="41" fontId="1" fillId="3" borderId="7" xfId="2" applyFont="1" applyFill="1" applyBorder="1" applyAlignment="1">
      <alignment horizontal="right" vertical="top"/>
    </xf>
    <xf numFmtId="41" fontId="1" fillId="3" borderId="8" xfId="2" applyFont="1" applyFill="1" applyBorder="1" applyAlignment="1">
      <alignment horizontal="right" vertical="top"/>
    </xf>
    <xf numFmtId="41" fontId="1" fillId="3" borderId="7" xfId="2" applyFont="1" applyFill="1" applyBorder="1" applyAlignment="1">
      <alignment horizontal="center" vertical="top"/>
    </xf>
    <xf numFmtId="41" fontId="1" fillId="3" borderId="9" xfId="2" applyFont="1" applyFill="1" applyBorder="1" applyAlignment="1">
      <alignment horizontal="center" vertical="top"/>
    </xf>
    <xf numFmtId="41" fontId="3" fillId="3" borderId="14" xfId="2" applyFont="1" applyFill="1" applyBorder="1" applyAlignment="1">
      <alignment horizontal="right" vertical="top"/>
    </xf>
    <xf numFmtId="0" fontId="1" fillId="3" borderId="0" xfId="3" applyFill="1"/>
    <xf numFmtId="0" fontId="2" fillId="3" borderId="0" xfId="3" applyFont="1" applyFill="1" applyAlignment="1">
      <alignment horizontal="center" vertical="center"/>
    </xf>
    <xf numFmtId="0" fontId="1" fillId="0" borderId="15" xfId="3" applyFont="1" applyBorder="1" applyAlignment="1">
      <alignment horizontal="center"/>
    </xf>
    <xf numFmtId="0" fontId="5" fillId="0" borderId="5" xfId="3" applyFont="1" applyBorder="1" applyAlignment="1">
      <alignment horizontal="left" vertical="top"/>
    </xf>
    <xf numFmtId="43" fontId="2" fillId="0" borderId="0" xfId="1" applyNumberFormat="1" applyFont="1" applyBorder="1" applyAlignment="1">
      <alignment vertical="top"/>
    </xf>
    <xf numFmtId="43" fontId="2" fillId="0" borderId="6" xfId="1" applyNumberFormat="1" applyFont="1" applyBorder="1" applyAlignment="1">
      <alignment vertical="top"/>
    </xf>
    <xf numFmtId="43" fontId="6" fillId="0" borderId="15" xfId="1" applyNumberFormat="1" applyFont="1" applyBorder="1" applyAlignment="1">
      <alignment horizontal="right" vertical="top"/>
    </xf>
    <xf numFmtId="164" fontId="6" fillId="0" borderId="2" xfId="1" applyNumberFormat="1" applyFont="1" applyBorder="1" applyAlignment="1">
      <alignment horizontal="right" vertical="top"/>
    </xf>
    <xf numFmtId="164" fontId="6" fillId="0" borderId="4" xfId="1" applyNumberFormat="1" applyFont="1" applyBorder="1" applyAlignment="1">
      <alignment horizontal="right" vertical="top"/>
    </xf>
    <xf numFmtId="164" fontId="2" fillId="0" borderId="2" xfId="1" applyNumberFormat="1" applyFont="1" applyBorder="1" applyAlignment="1">
      <alignment horizontal="center" vertical="top"/>
    </xf>
    <xf numFmtId="164" fontId="2" fillId="0" borderId="4" xfId="1" applyNumberFormat="1" applyFont="1" applyBorder="1" applyAlignment="1">
      <alignment horizontal="center" vertical="top"/>
    </xf>
    <xf numFmtId="164" fontId="2" fillId="0" borderId="2" xfId="1" applyNumberFormat="1" applyFont="1" applyBorder="1" applyAlignment="1">
      <alignment horizontal="right" vertical="top"/>
    </xf>
    <xf numFmtId="164" fontId="2" fillId="0" borderId="4" xfId="1" applyNumberFormat="1" applyFont="1" applyBorder="1" applyAlignment="1">
      <alignment horizontal="right" vertical="top"/>
    </xf>
    <xf numFmtId="41" fontId="2" fillId="0" borderId="2" xfId="2" applyFont="1" applyBorder="1" applyAlignment="1">
      <alignment horizontal="center" vertical="top"/>
    </xf>
    <xf numFmtId="41" fontId="2" fillId="0" borderId="3" xfId="2" applyFont="1" applyBorder="1" applyAlignment="1">
      <alignment horizontal="center" vertical="top"/>
    </xf>
    <xf numFmtId="41" fontId="2" fillId="0" borderId="4" xfId="2" applyFont="1" applyBorder="1" applyAlignment="1">
      <alignment horizontal="center" vertical="top"/>
    </xf>
    <xf numFmtId="164" fontId="1" fillId="0" borderId="0" xfId="3" applyNumberFormat="1"/>
    <xf numFmtId="0" fontId="5" fillId="0" borderId="5" xfId="3" applyFont="1" applyBorder="1" applyAlignment="1">
      <alignment vertical="top"/>
    </xf>
    <xf numFmtId="164" fontId="6" fillId="0" borderId="5" xfId="1" applyNumberFormat="1" applyFont="1" applyBorder="1" applyAlignment="1">
      <alignment horizontal="right" vertical="top"/>
    </xf>
    <xf numFmtId="164" fontId="6" fillId="0" borderId="6" xfId="1" applyNumberFormat="1" applyFont="1" applyBorder="1" applyAlignment="1">
      <alignment horizontal="right" vertical="top"/>
    </xf>
    <xf numFmtId="164" fontId="2" fillId="0" borderId="5" xfId="1" applyNumberFormat="1" applyFont="1" applyBorder="1" applyAlignment="1">
      <alignment horizontal="center" vertical="top"/>
    </xf>
    <xf numFmtId="164" fontId="2" fillId="0" borderId="6" xfId="1" applyNumberFormat="1" applyFont="1" applyBorder="1" applyAlignment="1">
      <alignment horizontal="center" vertical="top"/>
    </xf>
    <xf numFmtId="164" fontId="2" fillId="0" borderId="5" xfId="1" applyNumberFormat="1" applyFont="1" applyBorder="1" applyAlignment="1">
      <alignment horizontal="right" vertical="top"/>
    </xf>
    <xf numFmtId="164" fontId="2" fillId="0" borderId="6" xfId="1" applyNumberFormat="1" applyFont="1" applyBorder="1" applyAlignment="1">
      <alignment horizontal="right" vertical="top"/>
    </xf>
    <xf numFmtId="164" fontId="2" fillId="0" borderId="0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43" fontId="2" fillId="0" borderId="0" xfId="1" applyFont="1" applyBorder="1" applyAlignment="1">
      <alignment vertical="top"/>
    </xf>
    <xf numFmtId="43" fontId="2" fillId="0" borderId="0" xfId="1" applyNumberFormat="1" applyFont="1" applyBorder="1" applyAlignment="1">
      <alignment horizontal="right" vertical="top"/>
    </xf>
    <xf numFmtId="43" fontId="2" fillId="0" borderId="6" xfId="1" applyNumberFormat="1" applyFont="1" applyBorder="1" applyAlignment="1">
      <alignment horizontal="right" vertical="top"/>
    </xf>
    <xf numFmtId="43" fontId="6" fillId="0" borderId="15" xfId="1" applyFont="1" applyBorder="1" applyAlignment="1">
      <alignment horizontal="right" vertical="top"/>
    </xf>
    <xf numFmtId="43" fontId="6" fillId="0" borderId="5" xfId="1" applyFont="1" applyBorder="1" applyAlignment="1">
      <alignment horizontal="right" vertical="top"/>
    </xf>
    <xf numFmtId="43" fontId="6" fillId="0" borderId="6" xfId="1" applyFont="1" applyBorder="1" applyAlignment="1">
      <alignment horizontal="right" vertical="top"/>
    </xf>
    <xf numFmtId="43" fontId="2" fillId="0" borderId="5" xfId="1" applyFont="1" applyBorder="1" applyAlignment="1">
      <alignment horizontal="right" vertical="top"/>
    </xf>
    <xf numFmtId="43" fontId="2" fillId="0" borderId="6" xfId="1" applyFont="1" applyBorder="1" applyAlignment="1">
      <alignment horizontal="right" vertical="top"/>
    </xf>
    <xf numFmtId="43" fontId="2" fillId="0" borderId="0" xfId="1" applyFont="1" applyBorder="1" applyAlignment="1">
      <alignment horizontal="right" vertical="top"/>
    </xf>
    <xf numFmtId="5" fontId="2" fillId="0" borderId="15" xfId="1" applyNumberFormat="1" applyFont="1" applyBorder="1" applyAlignment="1">
      <alignment horizontal="center" vertical="top"/>
    </xf>
    <xf numFmtId="10" fontId="0" fillId="0" borderId="0" xfId="4" applyNumberFormat="1" applyFont="1"/>
    <xf numFmtId="165" fontId="0" fillId="0" borderId="0" xfId="2" applyNumberFormat="1" applyFont="1" applyAlignment="1">
      <alignment vertical="top"/>
    </xf>
    <xf numFmtId="0" fontId="5" fillId="0" borderId="5" xfId="3" applyFont="1" applyBorder="1" applyAlignment="1">
      <alignment horizontal="left" vertical="center"/>
    </xf>
    <xf numFmtId="43" fontId="6" fillId="0" borderId="15" xfId="1" applyNumberFormat="1" applyFont="1" applyBorder="1" applyAlignment="1">
      <alignment horizontal="right" vertical="center"/>
    </xf>
    <xf numFmtId="43" fontId="6" fillId="0" borderId="5" xfId="1" applyNumberFormat="1" applyFont="1" applyBorder="1" applyAlignment="1">
      <alignment horizontal="left" vertical="top"/>
    </xf>
    <xf numFmtId="164" fontId="6" fillId="0" borderId="6" xfId="1" applyNumberFormat="1" applyFont="1" applyBorder="1" applyAlignment="1">
      <alignment horizontal="center" vertical="center"/>
    </xf>
    <xf numFmtId="43" fontId="2" fillId="0" borderId="5" xfId="1" applyNumberFormat="1" applyFont="1" applyBorder="1" applyAlignment="1">
      <alignment horizontal="left" vertical="top"/>
    </xf>
    <xf numFmtId="164" fontId="2" fillId="0" borderId="6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left" vertical="center"/>
    </xf>
    <xf numFmtId="10" fontId="2" fillId="0" borderId="15" xfId="2" quotePrefix="1" applyNumberFormat="1" applyFont="1" applyBorder="1" applyAlignment="1">
      <alignment horizontal="center" vertical="center"/>
    </xf>
    <xf numFmtId="164" fontId="1" fillId="0" borderId="0" xfId="3" applyNumberFormat="1" applyAlignment="1">
      <alignment horizontal="left" vertical="top"/>
    </xf>
    <xf numFmtId="9" fontId="0" fillId="0" borderId="0" xfId="4" applyFont="1"/>
    <xf numFmtId="164" fontId="6" fillId="0" borderId="15" xfId="1" applyNumberFormat="1" applyFont="1" applyBorder="1" applyAlignment="1">
      <alignment horizontal="right" vertical="center"/>
    </xf>
    <xf numFmtId="17" fontId="1" fillId="0" borderId="0" xfId="3" applyNumberFormat="1"/>
    <xf numFmtId="165" fontId="6" fillId="0" borderId="5" xfId="2" applyNumberFormat="1" applyFont="1" applyBorder="1" applyAlignment="1">
      <alignment horizontal="right" vertical="top"/>
    </xf>
    <xf numFmtId="165" fontId="6" fillId="0" borderId="6" xfId="2" applyNumberFormat="1" applyFont="1" applyBorder="1" applyAlignment="1">
      <alignment horizontal="right" vertical="top"/>
    </xf>
    <xf numFmtId="43" fontId="2" fillId="0" borderId="5" xfId="1" applyFont="1" applyBorder="1" applyAlignment="1">
      <alignment horizontal="center" vertical="top"/>
    </xf>
    <xf numFmtId="43" fontId="2" fillId="0" borderId="6" xfId="1" applyFont="1" applyBorder="1" applyAlignment="1">
      <alignment horizontal="center" vertical="top"/>
    </xf>
    <xf numFmtId="165" fontId="2" fillId="0" borderId="5" xfId="2" applyNumberFormat="1" applyFont="1" applyBorder="1" applyAlignment="1">
      <alignment horizontal="right" vertical="top"/>
    </xf>
    <xf numFmtId="165" fontId="2" fillId="0" borderId="6" xfId="2" applyNumberFormat="1" applyFont="1" applyBorder="1" applyAlignment="1">
      <alignment horizontal="right" vertical="top"/>
    </xf>
    <xf numFmtId="41" fontId="2" fillId="0" borderId="5" xfId="2" applyFont="1" applyBorder="1" applyAlignment="1">
      <alignment horizontal="center" vertical="top"/>
    </xf>
    <xf numFmtId="41" fontId="2" fillId="0" borderId="0" xfId="2" applyFont="1" applyBorder="1" applyAlignment="1">
      <alignment horizontal="center" vertical="top"/>
    </xf>
    <xf numFmtId="41" fontId="2" fillId="0" borderId="5" xfId="2" applyFont="1" applyBorder="1" applyAlignment="1">
      <alignment horizontal="center" vertical="top"/>
    </xf>
    <xf numFmtId="41" fontId="2" fillId="0" borderId="6" xfId="2" applyFont="1" applyBorder="1" applyAlignment="1">
      <alignment horizontal="center" vertical="top"/>
    </xf>
    <xf numFmtId="41" fontId="6" fillId="0" borderId="15" xfId="2" applyFont="1" applyBorder="1" applyAlignment="1">
      <alignment horizontal="center" vertical="top"/>
    </xf>
    <xf numFmtId="43" fontId="6" fillId="0" borderId="5" xfId="1" applyNumberFormat="1" applyFont="1" applyBorder="1" applyAlignment="1">
      <alignment horizontal="right" vertical="top"/>
    </xf>
    <xf numFmtId="43" fontId="6" fillId="0" borderId="6" xfId="1" applyNumberFormat="1" applyFont="1" applyBorder="1" applyAlignment="1">
      <alignment horizontal="right" vertical="top"/>
    </xf>
    <xf numFmtId="43" fontId="2" fillId="0" borderId="5" xfId="1" applyNumberFormat="1" applyFont="1" applyBorder="1" applyAlignment="1">
      <alignment horizontal="right" vertical="top"/>
    </xf>
    <xf numFmtId="0" fontId="5" fillId="0" borderId="5" xfId="3" applyFont="1" applyBorder="1" applyAlignment="1">
      <alignment horizontal="left" vertical="top"/>
    </xf>
    <xf numFmtId="164" fontId="7" fillId="0" borderId="15" xfId="1" applyNumberFormat="1" applyFont="1" applyBorder="1" applyAlignment="1">
      <alignment horizontal="right" vertical="top"/>
    </xf>
    <xf numFmtId="164" fontId="2" fillId="0" borderId="5" xfId="1" applyNumberFormat="1" applyFont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164" fontId="2" fillId="0" borderId="6" xfId="1" applyNumberFormat="1" applyFont="1" applyBorder="1" applyAlignment="1">
      <alignment vertical="top"/>
    </xf>
    <xf numFmtId="164" fontId="6" fillId="0" borderId="15" xfId="1" applyNumberFormat="1" applyFont="1" applyBorder="1" applyAlignment="1">
      <alignment vertical="top"/>
    </xf>
    <xf numFmtId="0" fontId="1" fillId="0" borderId="14" xfId="3" applyFont="1" applyBorder="1" applyAlignment="1">
      <alignment horizontal="center"/>
    </xf>
    <xf numFmtId="0" fontId="5" fillId="0" borderId="7" xfId="3" applyFont="1" applyBorder="1" applyAlignment="1">
      <alignment horizontal="left" vertical="top"/>
    </xf>
    <xf numFmtId="164" fontId="2" fillId="0" borderId="8" xfId="1" applyNumberFormat="1" applyFont="1" applyBorder="1" applyAlignment="1">
      <alignment vertical="top"/>
    </xf>
    <xf numFmtId="164" fontId="2" fillId="0" borderId="9" xfId="1" applyNumberFormat="1" applyFont="1" applyBorder="1" applyAlignment="1">
      <alignment vertical="top"/>
    </xf>
    <xf numFmtId="164" fontId="7" fillId="0" borderId="14" xfId="1" applyNumberFormat="1" applyFont="1" applyBorder="1" applyAlignment="1">
      <alignment horizontal="right" vertical="top"/>
    </xf>
    <xf numFmtId="164" fontId="6" fillId="0" borderId="7" xfId="1" applyNumberFormat="1" applyFont="1" applyBorder="1" applyAlignment="1">
      <alignment horizontal="right" vertical="top"/>
    </xf>
    <xf numFmtId="164" fontId="6" fillId="0" borderId="9" xfId="1" applyNumberFormat="1" applyFont="1" applyBorder="1" applyAlignment="1">
      <alignment horizontal="right" vertical="top"/>
    </xf>
    <xf numFmtId="164" fontId="2" fillId="0" borderId="7" xfId="1" applyNumberFormat="1" applyFont="1" applyBorder="1" applyAlignment="1">
      <alignment horizontal="center" vertical="top"/>
    </xf>
    <xf numFmtId="164" fontId="2" fillId="0" borderId="9" xfId="1" applyNumberFormat="1" applyFont="1" applyBorder="1" applyAlignment="1">
      <alignment horizontal="center" vertical="top"/>
    </xf>
    <xf numFmtId="164" fontId="2" fillId="0" borderId="7" xfId="1" applyNumberFormat="1" applyFont="1" applyBorder="1" applyAlignment="1">
      <alignment horizontal="right" vertical="top"/>
    </xf>
    <xf numFmtId="164" fontId="2" fillId="0" borderId="9" xfId="1" applyNumberFormat="1" applyFont="1" applyBorder="1" applyAlignment="1">
      <alignment horizontal="right" vertical="top"/>
    </xf>
    <xf numFmtId="164" fontId="2" fillId="0" borderId="7" xfId="1" applyNumberFormat="1" applyFont="1" applyBorder="1" applyAlignment="1">
      <alignment vertical="top"/>
    </xf>
    <xf numFmtId="41" fontId="2" fillId="0" borderId="8" xfId="1" applyNumberFormat="1" applyFont="1" applyBorder="1" applyAlignment="1">
      <alignment vertical="top"/>
    </xf>
    <xf numFmtId="41" fontId="2" fillId="0" borderId="7" xfId="1" applyNumberFormat="1" applyFont="1" applyBorder="1" applyAlignment="1">
      <alignment vertical="top"/>
    </xf>
    <xf numFmtId="41" fontId="2" fillId="0" borderId="9" xfId="1" applyNumberFormat="1" applyFont="1" applyBorder="1" applyAlignment="1">
      <alignment vertical="top"/>
    </xf>
    <xf numFmtId="164" fontId="6" fillId="0" borderId="14" xfId="1" applyNumberFormat="1" applyFont="1" applyBorder="1" applyAlignment="1">
      <alignment vertical="top"/>
    </xf>
    <xf numFmtId="164" fontId="1" fillId="0" borderId="0" xfId="3" applyNumberFormat="1" applyBorder="1"/>
    <xf numFmtId="164" fontId="6" fillId="0" borderId="0" xfId="1" applyNumberFormat="1" applyFont="1" applyBorder="1"/>
    <xf numFmtId="164" fontId="1" fillId="0" borderId="3" xfId="3" applyNumberFormat="1" applyBorder="1"/>
    <xf numFmtId="164" fontId="6" fillId="0" borderId="3" xfId="1" applyNumberFormat="1" applyFont="1" applyBorder="1"/>
    <xf numFmtId="0" fontId="1" fillId="0" borderId="0" xfId="3" applyBorder="1"/>
    <xf numFmtId="0" fontId="1" fillId="4" borderId="0" xfId="3" applyFill="1" applyBorder="1"/>
    <xf numFmtId="43" fontId="1" fillId="0" borderId="0" xfId="3" applyNumberFormat="1"/>
    <xf numFmtId="43" fontId="1" fillId="0" borderId="0" xfId="3" applyNumberFormat="1" applyAlignment="1">
      <alignment horizontal="center"/>
    </xf>
    <xf numFmtId="3" fontId="1" fillId="0" borderId="0" xfId="3" applyNumberFormat="1" applyAlignment="1">
      <alignment horizontal="center"/>
    </xf>
    <xf numFmtId="0" fontId="1" fillId="0" borderId="0" xfId="3" applyAlignment="1">
      <alignment horizontal="center"/>
    </xf>
    <xf numFmtId="3" fontId="1" fillId="0" borderId="0" xfId="3" applyNumberFormat="1" applyAlignment="1">
      <alignment horizontal="center"/>
    </xf>
    <xf numFmtId="17" fontId="8" fillId="0" borderId="0" xfId="3" applyNumberFormat="1" applyFont="1" applyAlignment="1">
      <alignment horizontal="center"/>
    </xf>
    <xf numFmtId="164" fontId="9" fillId="0" borderId="0" xfId="3" applyNumberFormat="1" applyFont="1"/>
    <xf numFmtId="41" fontId="1" fillId="0" borderId="0" xfId="2" applyAlignment="1">
      <alignment horizontal="center"/>
    </xf>
    <xf numFmtId="41" fontId="8" fillId="0" borderId="0" xfId="3" applyNumberFormat="1" applyFont="1"/>
    <xf numFmtId="10" fontId="8" fillId="0" borderId="0" xfId="4" applyNumberFormat="1" applyFont="1"/>
    <xf numFmtId="41" fontId="1" fillId="0" borderId="0" xfId="2"/>
    <xf numFmtId="0" fontId="1" fillId="0" borderId="0" xfId="2" applyNumberFormat="1" applyFont="1"/>
    <xf numFmtId="9" fontId="1" fillId="0" borderId="0" xfId="4" applyFont="1"/>
  </cellXfs>
  <cellStyles count="28">
    <cellStyle name="Comma" xfId="1" builtinId="3"/>
    <cellStyle name="Comma [0]" xfId="2" builtinId="6"/>
    <cellStyle name="Comma [0] 2" xfId="5"/>
    <cellStyle name="Comma [0] 2 2" xfId="6"/>
    <cellStyle name="Comma [0] 2 3" xfId="7"/>
    <cellStyle name="Comma [0] 2 4" xfId="8"/>
    <cellStyle name="Comma [0] 2 5" xfId="9"/>
    <cellStyle name="Comma [0] 2 6" xfId="10"/>
    <cellStyle name="Comma [0] 2 7" xfId="11"/>
    <cellStyle name="Comma [0] 2 7 2" xfId="12"/>
    <cellStyle name="Comma [0] 3" xfId="13"/>
    <cellStyle name="Comma [0] 4" xfId="14"/>
    <cellStyle name="Comma [0] 4 2" xfId="15"/>
    <cellStyle name="Comma [0] 5" xfId="16"/>
    <cellStyle name="Comma 2" xfId="17"/>
    <cellStyle name="Comma 3" xfId="18"/>
    <cellStyle name="Comma 4" xfId="19"/>
    <cellStyle name="Currency 2" xfId="20"/>
    <cellStyle name="Normal" xfId="0" builtinId="0"/>
    <cellStyle name="Normal 2" xfId="21"/>
    <cellStyle name="Normal 2 2" xfId="3"/>
    <cellStyle name="Normal 3" xfId="22"/>
    <cellStyle name="Normal 4" xfId="23"/>
    <cellStyle name="Normal 5" xfId="24"/>
    <cellStyle name="Normal 5 2" xfId="25"/>
    <cellStyle name="Output 2" xfId="26"/>
    <cellStyle name="Percent 2" xfId="4"/>
    <cellStyle name="Percent 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ris%20file/REKAP%20REALISASI%20INVESTASI%202020/2.Februari/Tabel%201%20-%20Tabel%2012%20Per%2031%20Desembe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ris%20file/REKAP%20REALISASI%20INVESTASI%202020/6.%20Juni/Tabel%201%20-%20Tabel%2012%20Juni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PMPTSP%202017=+==+=/FOLDER%20JANUARI%202018==++/REKAP%20INVESTASI%202018%20TEMI%20FIX===+++/JANUARI%202018%20BEST/Rekap%20Investasi%20Perbulan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awan%20titip/REKAP%20REALISASI%20INVESTASI%202019/2.%20Februari%20Best/9.%20Rincian%20persektor%20perbulan%20tahun%202018-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awan%20titip/REKAP%20REALISASI%20INVESTASI%202019/4.%20April%20Best/Tabel%201%20-%20Tabel%2012%20Ap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1 Desember 2019"/>
      <sheetName val="Tabel 2 Desember 2019"/>
      <sheetName val="Tabel 3 Desember 2019"/>
      <sheetName val="Tabel 4 investasi Desember 2019"/>
      <sheetName val="Tabel 5 Persektor Desember 2019"/>
      <sheetName val="Tabel 6 Kec.Desember 2019"/>
      <sheetName val="Tabel 7 Kec. Jan-Des  2019"/>
      <sheetName val="Tabel 8 40 Kec-Desember 2019"/>
      <sheetName val="Tabel 9 40 Kec Jan - Des 2019"/>
      <sheetName val="Tabel 10 Persektor Des 2019"/>
      <sheetName val="Tabel 11 Persektor Jan-Des 2019"/>
      <sheetName val="TABEL 12. 2015-Desember 2019"/>
    </sheetNames>
    <sheetDataSet>
      <sheetData sheetId="0">
        <row r="37">
          <cell r="C37">
            <v>373</v>
          </cell>
          <cell r="E37">
            <v>1401363</v>
          </cell>
          <cell r="F37">
            <v>4</v>
          </cell>
          <cell r="G37">
            <v>2481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>
        <row r="26">
          <cell r="F26">
            <v>98190000000</v>
          </cell>
        </row>
        <row r="33">
          <cell r="F33">
            <v>0</v>
          </cell>
        </row>
        <row r="66">
          <cell r="F66">
            <v>128427000000</v>
          </cell>
        </row>
        <row r="75">
          <cell r="F75">
            <v>1150000000</v>
          </cell>
        </row>
        <row r="82">
          <cell r="F82">
            <v>300000000</v>
          </cell>
        </row>
        <row r="119">
          <cell r="F119">
            <v>6162000000</v>
          </cell>
        </row>
        <row r="239">
          <cell r="F239">
            <v>1340066726400</v>
          </cell>
        </row>
        <row r="271">
          <cell r="F271">
            <v>24004500000</v>
          </cell>
        </row>
        <row r="286">
          <cell r="F286">
            <v>1875000000</v>
          </cell>
        </row>
        <row r="306">
          <cell r="F306">
            <v>4270000000</v>
          </cell>
        </row>
        <row r="313">
          <cell r="F313">
            <v>0</v>
          </cell>
        </row>
        <row r="360">
          <cell r="F360">
            <v>43370000000</v>
          </cell>
        </row>
        <row r="369">
          <cell r="F369">
            <v>6500000000</v>
          </cell>
        </row>
        <row r="376">
          <cell r="F376">
            <v>0</v>
          </cell>
        </row>
        <row r="394">
          <cell r="F394">
            <v>3463000000</v>
          </cell>
        </row>
        <row r="458">
          <cell r="F458">
            <v>41978900000</v>
          </cell>
        </row>
        <row r="480">
          <cell r="F480">
            <v>5170000000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1 Juni 2020"/>
      <sheetName val="Tabel 2 Juni 2020"/>
      <sheetName val="Tabel 3 Jan - Juni  2020"/>
      <sheetName val="Tabel 4 investasi Jan-Juni 2020"/>
      <sheetName val="Tabel 5 Persektor Jan-Juni 2020"/>
      <sheetName val="Tabel 6 Kec. Juni 2020"/>
      <sheetName val="Tabel 7 Kec. Jan - Juni 2020"/>
      <sheetName val="Tabel 8 40 Kec Juni 2020"/>
      <sheetName val="Tabel 9 40 Kec Jan- Juni 2020"/>
      <sheetName val="Tabel 10 Persektor Juni 2020"/>
      <sheetName val="Tabel 11 Persektor Jan-Jun 2020"/>
      <sheetName val="TABEL 12. 2016 - Juni 2020"/>
    </sheetNames>
    <sheetDataSet>
      <sheetData sheetId="0">
        <row r="243">
          <cell r="C243">
            <v>117</v>
          </cell>
          <cell r="E243">
            <v>834775</v>
          </cell>
          <cell r="G243">
            <v>22910</v>
          </cell>
        </row>
      </sheetData>
      <sheetData sheetId="1"/>
      <sheetData sheetId="2"/>
      <sheetData sheetId="3">
        <row r="118">
          <cell r="F118">
            <v>100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2600000000</v>
          </cell>
        </row>
        <row r="131">
          <cell r="D131">
            <v>0</v>
          </cell>
        </row>
        <row r="132">
          <cell r="D132">
            <v>44065830667</v>
          </cell>
        </row>
        <row r="133">
          <cell r="D133">
            <v>755241000000</v>
          </cell>
        </row>
        <row r="134">
          <cell r="D134">
            <v>0</v>
          </cell>
        </row>
        <row r="135">
          <cell r="D135">
            <v>4150000000</v>
          </cell>
        </row>
        <row r="136">
          <cell r="D136">
            <v>0</v>
          </cell>
        </row>
        <row r="137">
          <cell r="D137">
            <v>4160000000</v>
          </cell>
        </row>
        <row r="138">
          <cell r="D138">
            <v>5182000000</v>
          </cell>
        </row>
        <row r="139">
          <cell r="D139">
            <v>37563000000</v>
          </cell>
        </row>
        <row r="140">
          <cell r="D140">
            <v>3950000000</v>
          </cell>
        </row>
        <row r="141">
          <cell r="D141">
            <v>1224000000</v>
          </cell>
        </row>
        <row r="142">
          <cell r="D142">
            <v>0</v>
          </cell>
        </row>
        <row r="143">
          <cell r="D143">
            <v>40815000000</v>
          </cell>
        </row>
        <row r="144">
          <cell r="D144">
            <v>6300000000</v>
          </cell>
        </row>
        <row r="145">
          <cell r="D145">
            <v>9533000000</v>
          </cell>
        </row>
        <row r="146">
          <cell r="D146">
            <v>0</v>
          </cell>
        </row>
        <row r="147">
          <cell r="D147">
            <v>1320725919</v>
          </cell>
        </row>
        <row r="148">
          <cell r="D148">
            <v>52408295000</v>
          </cell>
        </row>
        <row r="149">
          <cell r="D149">
            <v>1400000000</v>
          </cell>
        </row>
        <row r="150">
          <cell r="D150">
            <v>3600000000</v>
          </cell>
        </row>
        <row r="151">
          <cell r="D151">
            <v>8362000000</v>
          </cell>
        </row>
        <row r="152">
          <cell r="D152">
            <v>6048000000</v>
          </cell>
        </row>
        <row r="153">
          <cell r="D153">
            <v>2175000000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Investasi Perbulan 2017"/>
      <sheetName val="Rekap Investasi Perbulan 20 (2)"/>
      <sheetName val="Investasi Setahun 2017"/>
      <sheetName val="Investasi Setahun 2017 (2)"/>
      <sheetName val="Investasi 2017 TRIWULAN"/>
      <sheetName val="Investasi Persektor 2017"/>
      <sheetName val="Investasi Persektor Triwulan"/>
      <sheetName val="Sheet1"/>
    </sheetNames>
    <sheetDataSet>
      <sheetData sheetId="0">
        <row r="6">
          <cell r="C6">
            <v>4</v>
          </cell>
        </row>
        <row r="19">
          <cell r="D19">
            <v>0</v>
          </cell>
        </row>
      </sheetData>
      <sheetData sheetId="1">
        <row r="35">
          <cell r="C35">
            <v>39</v>
          </cell>
        </row>
      </sheetData>
      <sheetData sheetId="2">
        <row r="207">
          <cell r="C207">
            <v>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nci Persektor januari"/>
      <sheetName val="Rinci Persektor jan - feb 2018"/>
      <sheetName val="Rinci Persektor jan-maret 2018"/>
      <sheetName val="Rinci Persektor jan-april 2018"/>
      <sheetName val="Rinci Persektor jan - Mei"/>
      <sheetName val="Rinci Persektor jan - Juni"/>
      <sheetName val="Rinci Persektor jan - juli"/>
      <sheetName val="Rinci Persektor jan - Agst"/>
      <sheetName val="Rinci Persektor jan - Sept"/>
      <sheetName val="Rinci Persektor jan - Okt"/>
      <sheetName val="Rinci Persektor jan - Nov"/>
      <sheetName val="Rinci Persektor Jan - Des"/>
    </sheetNames>
    <sheetDataSet>
      <sheetData sheetId="0" refreshError="1"/>
      <sheetData sheetId="1" refreshError="1">
        <row r="16">
          <cell r="E1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1 April 2019"/>
      <sheetName val="Tabel 2 April 2019"/>
      <sheetName val="Tabel 3 April 2019"/>
      <sheetName val="Tabel 4 investasi April 2019"/>
      <sheetName val="Tabel 5 Persektor April 2019"/>
      <sheetName val="Tabel 6 Kec. April 2019"/>
      <sheetName val="Tabel 7 Kec. Jan-April 2019"/>
      <sheetName val="Tabel 8 40 Kec April 2019"/>
      <sheetName val="Tabel 9 40 Kec Jan-April 2019"/>
      <sheetName val="Tabel 10 Persektor April 2019"/>
      <sheetName val="Tabel 11 Persektor Jan-Apr 2019"/>
      <sheetName val="TABEL 12. 2015- April 2019"/>
      <sheetName val="Sheet1"/>
      <sheetName val="Tabel 1 Juni 2019"/>
      <sheetName val="Tabel 2 Juni 2019"/>
      <sheetName val="Tabel 3 Mei 2019"/>
      <sheetName val="Tabel 3 Juni 2019"/>
    </sheetNames>
    <sheetDataSet>
      <sheetData sheetId="0">
        <row r="6">
          <cell r="C6">
            <v>4</v>
          </cell>
        </row>
      </sheetData>
      <sheetData sheetId="1">
        <row r="6">
          <cell r="C6">
            <v>0</v>
          </cell>
        </row>
      </sheetData>
      <sheetData sheetId="2"/>
      <sheetData sheetId="3"/>
      <sheetData sheetId="4"/>
      <sheetData sheetId="5">
        <row r="6">
          <cell r="C6">
            <v>0</v>
          </cell>
        </row>
      </sheetData>
      <sheetData sheetId="6">
        <row r="12">
          <cell r="G12">
            <v>52000000</v>
          </cell>
        </row>
      </sheetData>
      <sheetData sheetId="7">
        <row r="18">
          <cell r="G18">
            <v>955000000</v>
          </cell>
        </row>
      </sheetData>
      <sheetData sheetId="8">
        <row r="144">
          <cell r="D144">
            <v>1401158726400</v>
          </cell>
        </row>
      </sheetData>
      <sheetData sheetId="9">
        <row r="667">
          <cell r="F667">
            <v>64252000000</v>
          </cell>
        </row>
      </sheetData>
      <sheetData sheetId="10">
        <row r="6">
          <cell r="C6">
            <v>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54"/>
  <sheetViews>
    <sheetView showGridLines="0" tabSelected="1" view="pageBreakPreview" zoomScale="89" zoomScaleSheetLayoutView="89" workbookViewId="0">
      <pane xSplit="7" ySplit="5" topLeftCell="N6" activePane="bottomRight" state="frozen"/>
      <selection pane="topRight" activeCell="H1" sqref="H1"/>
      <selection pane="bottomLeft" activeCell="A10" sqref="A10"/>
      <selection pane="bottomRight" activeCell="R24" sqref="R24:S24"/>
    </sheetView>
  </sheetViews>
  <sheetFormatPr defaultRowHeight="15"/>
  <cols>
    <col min="1" max="1" width="5.140625" style="4" customWidth="1"/>
    <col min="2" max="2" width="23.42578125" style="4" customWidth="1"/>
    <col min="3" max="3" width="17.5703125" style="4" hidden="1" customWidth="1"/>
    <col min="4" max="4" width="17.7109375" style="4" hidden="1" customWidth="1"/>
    <col min="5" max="5" width="18" style="4" hidden="1" customWidth="1"/>
    <col min="6" max="6" width="17.7109375" style="4" hidden="1" customWidth="1"/>
    <col min="7" max="7" width="38.28515625" style="4" customWidth="1"/>
    <col min="8" max="8" width="24.5703125" style="4" hidden="1" customWidth="1"/>
    <col min="9" max="9" width="18.5703125" style="4" hidden="1" customWidth="1"/>
    <col min="10" max="15" width="12.7109375" style="4" customWidth="1"/>
    <col min="16" max="16" width="13.85546875" style="4" customWidth="1"/>
    <col min="17" max="17" width="15" style="4" customWidth="1"/>
    <col min="18" max="18" width="14.85546875" style="4" customWidth="1"/>
    <col min="19" max="19" width="13.7109375" style="4" customWidth="1"/>
    <col min="20" max="20" width="29.42578125" style="4" customWidth="1"/>
    <col min="21" max="21" width="23" style="4" customWidth="1"/>
    <col min="22" max="22" width="9.140625" style="5" customWidth="1"/>
    <col min="23" max="23" width="9.140625" style="4"/>
    <col min="24" max="24" width="20.42578125" style="4" customWidth="1"/>
    <col min="25" max="25" width="9.140625" style="4"/>
    <col min="26" max="26" width="21.85546875" style="6" customWidth="1"/>
    <col min="27" max="27" width="21.42578125" style="7" customWidth="1"/>
    <col min="28" max="16384" width="9.140625" style="4"/>
  </cols>
  <sheetData>
    <row r="1" spans="1:2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7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7" ht="15.75" thickBo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</row>
    <row r="4" spans="1:27" ht="26.25" customHeight="1" thickBot="1">
      <c r="A4" s="14" t="s">
        <v>3</v>
      </c>
      <c r="B4" s="15" t="s">
        <v>4</v>
      </c>
      <c r="C4" s="16"/>
      <c r="D4" s="16"/>
      <c r="E4" s="16"/>
      <c r="F4" s="16"/>
      <c r="G4" s="17"/>
      <c r="H4" s="18" t="s">
        <v>5</v>
      </c>
      <c r="I4" s="19"/>
      <c r="J4" s="20" t="s">
        <v>6</v>
      </c>
      <c r="K4" s="20"/>
      <c r="L4" s="20"/>
      <c r="M4" s="20"/>
      <c r="N4" s="20"/>
      <c r="O4" s="20"/>
      <c r="P4" s="20"/>
      <c r="Q4" s="20"/>
      <c r="R4" s="20"/>
      <c r="S4" s="21"/>
      <c r="T4" s="14" t="s">
        <v>7</v>
      </c>
    </row>
    <row r="5" spans="1:27" ht="26.25" customHeight="1" thickBot="1">
      <c r="A5" s="22"/>
      <c r="B5" s="23"/>
      <c r="C5" s="24"/>
      <c r="D5" s="24"/>
      <c r="E5" s="24"/>
      <c r="F5" s="24"/>
      <c r="G5" s="25"/>
      <c r="H5" s="26">
        <v>2011</v>
      </c>
      <c r="I5" s="27">
        <v>2012</v>
      </c>
      <c r="J5" s="28">
        <v>2016</v>
      </c>
      <c r="K5" s="29"/>
      <c r="L5" s="30">
        <v>2017</v>
      </c>
      <c r="M5" s="31"/>
      <c r="N5" s="28">
        <v>2018</v>
      </c>
      <c r="O5" s="29"/>
      <c r="P5" s="28">
        <v>2019</v>
      </c>
      <c r="Q5" s="29"/>
      <c r="R5" s="30">
        <v>2020</v>
      </c>
      <c r="S5" s="31"/>
      <c r="T5" s="22"/>
    </row>
    <row r="6" spans="1:27" ht="15" customHeight="1">
      <c r="A6" s="32">
        <v>1</v>
      </c>
      <c r="B6" s="33" t="s">
        <v>8</v>
      </c>
      <c r="C6" s="34"/>
      <c r="D6" s="34"/>
      <c r="E6" s="34"/>
      <c r="F6" s="34"/>
      <c r="G6" s="35"/>
      <c r="H6" s="36">
        <f>225000000+250000000+410000000+150000000+200000000+150000000</f>
        <v>1385000000</v>
      </c>
      <c r="I6" s="36">
        <f>290000000+210000000+350000000+350000000+350000000+350000000+500000000+555000000+350000000+250000000</f>
        <v>3555000000</v>
      </c>
      <c r="J6" s="37">
        <v>238055000000</v>
      </c>
      <c r="K6" s="38"/>
      <c r="L6" s="39">
        <v>5338850000</v>
      </c>
      <c r="M6" s="40"/>
      <c r="N6" s="39">
        <v>6210000000</v>
      </c>
      <c r="O6" s="40"/>
      <c r="P6" s="41">
        <f>'[1]Tabel 11 Persektor Jan-Des 2019'!F26</f>
        <v>98190000000</v>
      </c>
      <c r="Q6" s="42"/>
      <c r="R6" s="43">
        <f>'[2]Tabel 4 investasi Jan-Juni 2020'!D128+'[2]Tabel 4 investasi Jan-Juni 2020'!D129+'[2]Tabel 4 investasi Jan-Juni 2020'!D130</f>
        <v>2600000000</v>
      </c>
      <c r="S6" s="44"/>
      <c r="T6" s="45" t="s">
        <v>9</v>
      </c>
      <c r="V6" s="5" t="s">
        <v>10</v>
      </c>
      <c r="Z6" s="6">
        <v>1550000000</v>
      </c>
      <c r="AA6" s="46">
        <f t="shared" ref="AA6:AA16" si="0">Z6-N6</f>
        <v>-4660000000</v>
      </c>
    </row>
    <row r="7" spans="1:27" ht="20.100000000000001" customHeight="1">
      <c r="A7" s="32">
        <v>2</v>
      </c>
      <c r="B7" s="33" t="s">
        <v>11</v>
      </c>
      <c r="C7" s="34"/>
      <c r="D7" s="34"/>
      <c r="E7" s="34"/>
      <c r="F7" s="34"/>
      <c r="G7" s="35"/>
      <c r="H7" s="47">
        <f>700000000+750000000+750000000</f>
        <v>2200000000</v>
      </c>
      <c r="I7" s="47">
        <f>1000000000+300000000+8850000000+1000000000+2800000000+300000000+521000000+500000000+950000000+500000000</f>
        <v>16721000000</v>
      </c>
      <c r="J7" s="37">
        <v>0</v>
      </c>
      <c r="K7" s="38"/>
      <c r="L7" s="39">
        <f>'[3]Rekap Investasi Perbulan 2017'!$D$19</f>
        <v>0</v>
      </c>
      <c r="M7" s="40"/>
      <c r="N7" s="48">
        <f>'[4]Rinci Persektor jan - feb 2018'!$E$16</f>
        <v>0</v>
      </c>
      <c r="O7" s="49"/>
      <c r="P7" s="50">
        <f>'[1]Tabel 11 Persektor Jan-Des 2019'!F33</f>
        <v>0</v>
      </c>
      <c r="Q7" s="51"/>
      <c r="R7" s="52">
        <f>'[2]Tabel 4 investasi Jan-Juni 2020'!D131</f>
        <v>0</v>
      </c>
      <c r="S7" s="53"/>
      <c r="T7" s="54" t="s">
        <v>12</v>
      </c>
      <c r="AA7" s="46">
        <f t="shared" si="0"/>
        <v>0</v>
      </c>
    </row>
    <row r="8" spans="1:27" ht="20.100000000000001" customHeight="1">
      <c r="A8" s="32">
        <v>3</v>
      </c>
      <c r="B8" s="33" t="s">
        <v>13</v>
      </c>
      <c r="C8" s="34"/>
      <c r="D8" s="34"/>
      <c r="E8" s="34"/>
      <c r="F8" s="34"/>
      <c r="G8" s="35"/>
      <c r="H8" s="36">
        <f>150000000+450000000+425000000+50000000+100000000+1136000000+150000000+50000000+150000000+700000000+30000000+1000000000+95000000+600000000+500000000+300000000+325000000+550000000+100000000+100000000+100000000+120000000+525000000+500000000+250000000+275000000+400000000+200000000+50000000+125000000+250000000+100000000+8667748000+550000000+300000000+400000000+400000000+120000000+280000000+100000000+250000000+300000000+100000000+350000000+300000000+300000000+500000000+450000000+500000000+2000000000+300000000+400000000+275000000+75000000+201100000+13467889000+173000000-250000000+1500000000+525000000+104000000000+900000000+700000000+400000000+100000000+200000000+300000000+150000000+100000000+250000000+50000000+400000000+750000000+500000000+400000000+125000000</f>
        <v>151715737000</v>
      </c>
      <c r="I8" s="36">
        <v>815002835000</v>
      </c>
      <c r="J8" s="37">
        <v>187752041000</v>
      </c>
      <c r="K8" s="38"/>
      <c r="L8" s="39">
        <v>251435804250</v>
      </c>
      <c r="M8" s="40"/>
      <c r="N8" s="39">
        <v>1612808550000</v>
      </c>
      <c r="O8" s="40"/>
      <c r="P8" s="41">
        <f>'[1]Tabel 11 Persektor Jan-Des 2019'!F66</f>
        <v>128427000000</v>
      </c>
      <c r="Q8" s="42"/>
      <c r="R8" s="55">
        <f>'[2]Tabel 4 investasi Jan-Juni 2020'!D132+'[2]Tabel 4 investasi Jan-Juni 2020'!D133+'[2]Tabel 4 investasi Jan-Juni 2020'!D134</f>
        <v>799306830667</v>
      </c>
      <c r="S8" s="56"/>
      <c r="T8" s="57" t="s">
        <v>14</v>
      </c>
      <c r="V8" s="58" t="s">
        <v>15</v>
      </c>
      <c r="Z8" s="6">
        <v>1566788550000</v>
      </c>
      <c r="AA8" s="46">
        <f t="shared" si="0"/>
        <v>-46020000000</v>
      </c>
    </row>
    <row r="9" spans="1:27" ht="20.100000000000001" customHeight="1">
      <c r="A9" s="32">
        <v>4</v>
      </c>
      <c r="B9" s="33" t="s">
        <v>16</v>
      </c>
      <c r="C9" s="34"/>
      <c r="D9" s="34"/>
      <c r="E9" s="34"/>
      <c r="F9" s="34"/>
      <c r="G9" s="35"/>
      <c r="H9" s="36">
        <f>100000000+325000000+4000000000000</f>
        <v>4000425000000</v>
      </c>
      <c r="I9" s="36">
        <f>700000000</f>
        <v>700000000</v>
      </c>
      <c r="J9" s="37">
        <v>66386060000</v>
      </c>
      <c r="K9" s="38"/>
      <c r="L9" s="39">
        <v>400000000</v>
      </c>
      <c r="M9" s="40"/>
      <c r="N9" s="39">
        <f>400000000</f>
        <v>400000000</v>
      </c>
      <c r="O9" s="40"/>
      <c r="P9" s="50">
        <f>'[1]Tabel 11 Persektor Jan-Des 2019'!F75</f>
        <v>1150000000</v>
      </c>
      <c r="Q9" s="51"/>
      <c r="R9" s="52">
        <f>'[2]Tabel 4 investasi Jan-Juni 2020'!D135</f>
        <v>4150000000</v>
      </c>
      <c r="S9" s="59"/>
      <c r="T9" s="60" t="s">
        <v>17</v>
      </c>
      <c r="V9" s="58">
        <v>22</v>
      </c>
      <c r="AA9" s="46">
        <f t="shared" si="0"/>
        <v>-400000000</v>
      </c>
    </row>
    <row r="10" spans="1:27" ht="20.100000000000001" customHeight="1">
      <c r="A10" s="32">
        <v>5</v>
      </c>
      <c r="B10" s="33" t="s">
        <v>18</v>
      </c>
      <c r="C10" s="34"/>
      <c r="D10" s="34"/>
      <c r="E10" s="34"/>
      <c r="F10" s="34"/>
      <c r="G10" s="35"/>
      <c r="H10" s="36">
        <v>0</v>
      </c>
      <c r="I10" s="36">
        <v>0</v>
      </c>
      <c r="J10" s="37">
        <v>1400000000</v>
      </c>
      <c r="K10" s="38"/>
      <c r="L10" s="39">
        <v>300000000</v>
      </c>
      <c r="M10" s="40"/>
      <c r="N10" s="48">
        <v>0</v>
      </c>
      <c r="O10" s="49"/>
      <c r="P10" s="50">
        <f>'[1]Tabel 11 Persektor Jan-Des 2019'!F82</f>
        <v>300000000</v>
      </c>
      <c r="Q10" s="51"/>
      <c r="R10" s="52">
        <f>'[2]Tabel 4 investasi Jan-Juni 2020'!D136</f>
        <v>0</v>
      </c>
      <c r="S10" s="53"/>
      <c r="T10" s="60"/>
      <c r="V10" s="58">
        <v>26</v>
      </c>
      <c r="AA10" s="46">
        <f t="shared" si="0"/>
        <v>0</v>
      </c>
    </row>
    <row r="11" spans="1:27" ht="20.100000000000001" customHeight="1">
      <c r="A11" s="32">
        <v>6</v>
      </c>
      <c r="B11" s="33" t="s">
        <v>19</v>
      </c>
      <c r="C11" s="34"/>
      <c r="D11" s="34"/>
      <c r="E11" s="34"/>
      <c r="F11" s="34"/>
      <c r="G11" s="35"/>
      <c r="H11" s="36">
        <f>825000000+900000000+550000000+600000000+250000000+900000000+500000000+550000000+150000000+570000000+675000000+5000000+100000000+700000000+300000000+300000000+750000000+400000000+850000000+200000000+2086800000+1900000000+250000000+200000000+500000000+540000000+300000000+400000000+150000000+600000000+300000000+350000000+300000000+350000000+175000000+550000000+150000000+325000000+250000000+500000000+575000000+425000000+275000000+450000000+350000000+30420000000+350000000+1150000000+700000000+750000000+300000000+250000000+550000000+825000000+350000000+700000000+725000000+500000000+1500000000</f>
        <v>61396800000</v>
      </c>
      <c r="I11" s="36">
        <f>300000000+700000000+5500000000+500000000+500000000+65800000+300000000+350000000+240000000+450000000+300000000+425000000+550000000+5603213218+600000000+910000000+20000000+350000000+350000000+1750000000+250000000+350000000+950000000+500000000+500000000+7550000000+400000000+550000000+1000000000+250000000+850000000+850000000+700000000+1000000000+900000000+800000000+950000000+900000000+550000000+850000000+700000000+800000000+100000000+850000000+750000000+750000000+575000000+850000000+500000000+500000000+3000000000+550000000+500000000+850000000+600000000+75000000+950000000+400000000+230000000+400000000+50000000+400000000+300000000+500000000+775000000+750000000+300000000+400000000+400000000+250000000+850000000+800000000+700000000+850000000+100000000+300000000+400000000+3000000000+2000000000+250000000+850000000+425000000+400000000+5000000000+500000000+2300000000+900000000+4500000000+750000000+300000000+400000000</f>
        <v>84044013218</v>
      </c>
      <c r="J11" s="37">
        <v>29193228548</v>
      </c>
      <c r="K11" s="38"/>
      <c r="L11" s="39">
        <v>8672000000</v>
      </c>
      <c r="M11" s="40"/>
      <c r="N11" s="39">
        <v>19590060398</v>
      </c>
      <c r="O11" s="40"/>
      <c r="P11" s="41">
        <f>'[1]Tabel 11 Persektor Jan-Des 2019'!F119</f>
        <v>6162000000</v>
      </c>
      <c r="Q11" s="42"/>
      <c r="R11" s="55">
        <f>'[2]Tabel 4 investasi Jan-Juni 2020'!D137+'[2]Tabel 4 investasi Jan-Juni 2020'!D138</f>
        <v>9342000000</v>
      </c>
      <c r="S11" s="56"/>
      <c r="T11" s="61"/>
      <c r="V11" s="58" t="s">
        <v>20</v>
      </c>
      <c r="Z11" s="6">
        <v>13660060398</v>
      </c>
      <c r="AA11" s="46">
        <f t="shared" si="0"/>
        <v>-5930000000</v>
      </c>
    </row>
    <row r="12" spans="1:27" ht="32.25" customHeight="1">
      <c r="A12" s="32">
        <v>7</v>
      </c>
      <c r="B12" s="62" t="s">
        <v>21</v>
      </c>
      <c r="C12" s="63"/>
      <c r="D12" s="63"/>
      <c r="E12" s="63"/>
      <c r="F12" s="63"/>
      <c r="G12" s="64"/>
      <c r="H12" s="36">
        <f>24660000+50750000000+3415000000+1315000000+1400000000+170000000+300000000+30000000+200000000+300000000+100000000+270000000+300000000+400000000+300000000+250000000+270000000+300000000+50000000+300000000+250000000+100000000+300000000+90046575000+200000000+150000000+250000000+75000000+250000000+450000000+400000000+250000000+300000000+340000000+300000000+300000000+250000000+750000000+300000000+350000000+225000000+350000000+250000000+300000000+300000000+6500000000+250000000+500000000+300000000+250000000+350000000+500000000+500000000+300000000+520000000+600000000+450000000+300000000+325000000+300000000+130000000+450000000</f>
        <v>170006235000</v>
      </c>
      <c r="I12" s="36">
        <f>525000000+500000000+200000000+275000000+500000000+350000000+450000000+300000000+200000000+400000000+450000000+25000000+500000000+120000000+300000000+250000000+150000000+350000000+300000000+350000000+250000000+250000000+400000000+425000000+250000000+420000000+550000000+250000000+350000000+100000000+450000000+450000000+475000000+650000000+375000000+850000000+350000000+700000000+700000000+650000000+300000000+300000000+400000000+300000000+400000000+500000000+250000000+550000000+550000000+450000000+500000000+800000000+500000000+1000000000+350000000+750000000+100000000+575000000+400000000+500000000+500000000+100000000+2000000000+850000000+900000000+850000000+550000000+75000000+850000000+600000000+230000000+800000000+550000000+800000000+800000000+1500000000+300000000+700000000+800000000+650000000+100000000+340000000+740000000+250000000+270000000+250000000+200000000+400000000+585000000+325000000+350000000+350000000+275000000+250000000+150000000+325000000+400000000+400000000+300000000+325000000+300000000+250000000+250000000+10500000000+400000000+150000000+200000000+275000000+300000000+300000000+325000000+350000000+200000000+300000000+400000000+300000000+200000000+200000000+350000000+250000000+300000000+250000000+300000000+345000000+355000000+350000000+900000000+900000000+900000000+200000000+800000000+900000000</f>
        <v>68155000000</v>
      </c>
      <c r="J12" s="37">
        <v>30395000000</v>
      </c>
      <c r="K12" s="38"/>
      <c r="L12" s="39">
        <v>490679561700</v>
      </c>
      <c r="M12" s="40"/>
      <c r="N12" s="39">
        <v>26117000000</v>
      </c>
      <c r="O12" s="40"/>
      <c r="P12" s="41">
        <f>'[1]Tabel 11 Persektor Jan-Des 2019'!F239</f>
        <v>1340066726400</v>
      </c>
      <c r="Q12" s="42"/>
      <c r="R12" s="55">
        <f>'[2]Tabel 4 investasi Jan-Juni 2020'!D139+'[2]Tabel 4 investasi Jan-Juni 2020'!D140+'[2]Tabel 4 investasi Jan-Juni 2020'!D141+'[2]Tabel 4 investasi Jan-Juni 2020'!D142</f>
        <v>42737000000</v>
      </c>
      <c r="S12" s="56"/>
      <c r="T12" s="61"/>
      <c r="V12" s="65" t="s">
        <v>22</v>
      </c>
      <c r="Z12" s="6">
        <v>20018000000</v>
      </c>
      <c r="AA12" s="46">
        <f t="shared" si="0"/>
        <v>-6099000000</v>
      </c>
    </row>
    <row r="13" spans="1:27" ht="20.100000000000001" customHeight="1">
      <c r="A13" s="32">
        <v>8</v>
      </c>
      <c r="B13" s="62" t="s">
        <v>23</v>
      </c>
      <c r="C13" s="63"/>
      <c r="D13" s="63"/>
      <c r="E13" s="63"/>
      <c r="F13" s="63"/>
      <c r="G13" s="64"/>
      <c r="H13" s="47">
        <v>0</v>
      </c>
      <c r="I13" s="47">
        <v>0</v>
      </c>
      <c r="J13" s="37">
        <v>49384000000</v>
      </c>
      <c r="K13" s="38"/>
      <c r="L13" s="39">
        <v>8155000000</v>
      </c>
      <c r="M13" s="40"/>
      <c r="N13" s="39">
        <v>38190000000</v>
      </c>
      <c r="O13" s="40"/>
      <c r="P13" s="41">
        <f>'[1]Tabel 11 Persektor Jan-Des 2019'!F271</f>
        <v>24004500000</v>
      </c>
      <c r="Q13" s="42"/>
      <c r="R13" s="55">
        <f>'[2]Tabel 4 investasi Jan-Juni 2020'!D143</f>
        <v>40815000000</v>
      </c>
      <c r="S13" s="56"/>
      <c r="T13" s="61"/>
      <c r="V13" s="5">
        <v>25</v>
      </c>
      <c r="AA13" s="46">
        <f t="shared" si="0"/>
        <v>-38190000000</v>
      </c>
    </row>
    <row r="14" spans="1:27" ht="20.100000000000001" customHeight="1">
      <c r="A14" s="32">
        <v>9</v>
      </c>
      <c r="B14" s="62" t="s">
        <v>24</v>
      </c>
      <c r="C14" s="63"/>
      <c r="D14" s="63"/>
      <c r="E14" s="63"/>
      <c r="F14" s="63"/>
      <c r="G14" s="64"/>
      <c r="H14" s="47">
        <v>0</v>
      </c>
      <c r="I14" s="47">
        <v>0</v>
      </c>
      <c r="J14" s="37">
        <v>2700000000</v>
      </c>
      <c r="K14" s="38"/>
      <c r="L14" s="39">
        <v>2670000000</v>
      </c>
      <c r="M14" s="40"/>
      <c r="N14" s="39">
        <v>7550000000</v>
      </c>
      <c r="O14" s="40"/>
      <c r="P14" s="41">
        <f>'[1]Tabel 11 Persektor Jan-Des 2019'!F286</f>
        <v>1875000000</v>
      </c>
      <c r="Q14" s="42"/>
      <c r="R14" s="55">
        <f>'[2]Tabel 4 investasi Jan-Juni 2020'!D144</f>
        <v>6300000000</v>
      </c>
      <c r="S14" s="56"/>
      <c r="T14" s="61"/>
      <c r="V14" s="5">
        <v>2</v>
      </c>
      <c r="Z14" s="6">
        <v>7150000000</v>
      </c>
      <c r="AA14" s="46">
        <f t="shared" si="0"/>
        <v>-400000000</v>
      </c>
    </row>
    <row r="15" spans="1:27" ht="20.100000000000001" customHeight="1">
      <c r="A15" s="32">
        <v>10</v>
      </c>
      <c r="B15" s="33" t="s">
        <v>25</v>
      </c>
      <c r="C15" s="34"/>
      <c r="D15" s="34"/>
      <c r="E15" s="34"/>
      <c r="F15" s="34"/>
      <c r="G15" s="35"/>
      <c r="H15" s="47">
        <f>200000000</f>
        <v>200000000</v>
      </c>
      <c r="I15" s="47">
        <f>250000000+500000000</f>
        <v>750000000</v>
      </c>
      <c r="J15" s="37">
        <v>6346000000</v>
      </c>
      <c r="K15" s="38"/>
      <c r="L15" s="39">
        <v>14131000000</v>
      </c>
      <c r="M15" s="40"/>
      <c r="N15" s="39">
        <v>7658000000</v>
      </c>
      <c r="O15" s="40"/>
      <c r="P15" s="41">
        <f>'[1]Tabel 11 Persektor Jan-Des 2019'!F306</f>
        <v>4270000000</v>
      </c>
      <c r="Q15" s="42"/>
      <c r="R15" s="55">
        <f>'[2]Tabel 4 investasi Jan-Juni 2020'!D145+'[2]Tabel 4 investasi Jan-Juni 2020'!D146</f>
        <v>9533000000</v>
      </c>
      <c r="S15" s="56"/>
      <c r="T15" s="61"/>
      <c r="V15" s="5">
        <v>1</v>
      </c>
      <c r="Z15" s="6">
        <v>1958000000</v>
      </c>
      <c r="AA15" s="46">
        <f t="shared" si="0"/>
        <v>-5700000000</v>
      </c>
    </row>
    <row r="16" spans="1:27" ht="20.100000000000001" customHeight="1">
      <c r="A16" s="32">
        <v>11</v>
      </c>
      <c r="B16" s="33" t="s">
        <v>26</v>
      </c>
      <c r="C16" s="34"/>
      <c r="D16" s="34"/>
      <c r="E16" s="34"/>
      <c r="F16" s="34"/>
      <c r="G16" s="35"/>
      <c r="H16" s="36">
        <f>423162095+154063900+150000000000+500000000+32292000+620000000+400000000</f>
        <v>152129517995</v>
      </c>
      <c r="I16" s="36">
        <f>2000000000+1200000000+2500000000+629920000+1500000000+410000000</f>
        <v>8239920000</v>
      </c>
      <c r="J16" s="37">
        <v>300000000</v>
      </c>
      <c r="K16" s="38"/>
      <c r="L16" s="39">
        <v>350000000</v>
      </c>
      <c r="M16" s="40"/>
      <c r="N16" s="39">
        <f>100000000</f>
        <v>100000000</v>
      </c>
      <c r="O16" s="40"/>
      <c r="P16" s="41">
        <f>'[1]Tabel 11 Persektor Jan-Des 2019'!F313</f>
        <v>0</v>
      </c>
      <c r="Q16" s="42"/>
      <c r="R16" s="55">
        <f>'[2]Tabel 4 investasi Jan-Juni 2020'!D147</f>
        <v>1320725919</v>
      </c>
      <c r="S16" s="56"/>
      <c r="T16" s="61"/>
      <c r="V16" s="5">
        <v>6</v>
      </c>
      <c r="AA16" s="46">
        <f t="shared" si="0"/>
        <v>-100000000</v>
      </c>
    </row>
    <row r="17" spans="1:27" ht="20.100000000000001" customHeight="1">
      <c r="A17" s="32">
        <v>12</v>
      </c>
      <c r="B17" s="33" t="s">
        <v>27</v>
      </c>
      <c r="C17" s="34"/>
      <c r="D17" s="34"/>
      <c r="E17" s="34"/>
      <c r="F17" s="34"/>
      <c r="G17" s="35"/>
      <c r="H17" s="47">
        <v>0</v>
      </c>
      <c r="I17" s="47">
        <v>0</v>
      </c>
      <c r="J17" s="37">
        <v>60225000000</v>
      </c>
      <c r="K17" s="38"/>
      <c r="L17" s="39">
        <v>34400000000</v>
      </c>
      <c r="M17" s="40"/>
      <c r="N17" s="39">
        <v>50201000000</v>
      </c>
      <c r="O17" s="40"/>
      <c r="P17" s="41">
        <f>'[1]Tabel 11 Persektor Jan-Des 2019'!F360</f>
        <v>43370000000</v>
      </c>
      <c r="Q17" s="42"/>
      <c r="R17" s="55">
        <f>'[2]Tabel 4 investasi Jan-Juni 2020'!D148</f>
        <v>52408295000</v>
      </c>
      <c r="S17" s="56"/>
      <c r="T17" s="61"/>
      <c r="V17" s="5">
        <v>7</v>
      </c>
      <c r="AA17" s="46"/>
    </row>
    <row r="18" spans="1:27" ht="20.100000000000001" customHeight="1">
      <c r="A18" s="32">
        <v>13</v>
      </c>
      <c r="B18" s="33" t="s">
        <v>28</v>
      </c>
      <c r="C18" s="34"/>
      <c r="D18" s="34"/>
      <c r="E18" s="34"/>
      <c r="F18" s="34"/>
      <c r="G18" s="35"/>
      <c r="H18" s="47">
        <v>0</v>
      </c>
      <c r="I18" s="47">
        <v>0</v>
      </c>
      <c r="J18" s="37">
        <v>0</v>
      </c>
      <c r="K18" s="38"/>
      <c r="L18" s="39">
        <v>8700000000</v>
      </c>
      <c r="M18" s="40"/>
      <c r="N18" s="48">
        <v>25600000000</v>
      </c>
      <c r="O18" s="49"/>
      <c r="P18" s="41">
        <f>'[1]Tabel 11 Persektor Jan-Des 2019'!F369</f>
        <v>6500000000</v>
      </c>
      <c r="Q18" s="42"/>
      <c r="R18" s="55">
        <f>'[2]Tabel 4 investasi Jan-Juni 2020'!D149</f>
        <v>1400000000</v>
      </c>
      <c r="S18" s="56"/>
      <c r="T18" s="61"/>
      <c r="X18" s="66"/>
      <c r="AA18" s="46">
        <f>Z18-N18</f>
        <v>-25600000000</v>
      </c>
    </row>
    <row r="19" spans="1:27" ht="27" customHeight="1">
      <c r="A19" s="32">
        <v>14</v>
      </c>
      <c r="B19" s="62" t="s">
        <v>29</v>
      </c>
      <c r="C19" s="63"/>
      <c r="D19" s="63"/>
      <c r="E19" s="63"/>
      <c r="F19" s="63"/>
      <c r="G19" s="64"/>
      <c r="H19" s="47">
        <v>0</v>
      </c>
      <c r="I19" s="47">
        <v>0</v>
      </c>
      <c r="J19" s="37">
        <v>0</v>
      </c>
      <c r="K19" s="38"/>
      <c r="L19" s="39">
        <v>0</v>
      </c>
      <c r="M19" s="40"/>
      <c r="N19" s="48">
        <v>0</v>
      </c>
      <c r="O19" s="49"/>
      <c r="P19" s="41">
        <f>'[1]Tabel 11 Persektor Jan-Des 2019'!F376</f>
        <v>0</v>
      </c>
      <c r="Q19" s="42"/>
      <c r="R19" s="55">
        <f>0</f>
        <v>0</v>
      </c>
      <c r="S19" s="56"/>
      <c r="T19" s="61"/>
      <c r="AA19" s="46"/>
    </row>
    <row r="20" spans="1:27" s="7" customFormat="1" ht="20.100000000000001" customHeight="1">
      <c r="A20" s="32">
        <v>15</v>
      </c>
      <c r="B20" s="33" t="s">
        <v>30</v>
      </c>
      <c r="C20" s="34"/>
      <c r="D20" s="34"/>
      <c r="E20" s="34"/>
      <c r="F20" s="34"/>
      <c r="G20" s="35"/>
      <c r="H20" s="47">
        <v>0</v>
      </c>
      <c r="I20" s="47">
        <v>0</v>
      </c>
      <c r="J20" s="37">
        <v>9100000000</v>
      </c>
      <c r="K20" s="38"/>
      <c r="L20" s="39">
        <v>11539500000</v>
      </c>
      <c r="M20" s="40"/>
      <c r="N20" s="39">
        <v>12199200000</v>
      </c>
      <c r="O20" s="40"/>
      <c r="P20" s="41">
        <f>'[1]Tabel 11 Persektor Jan-Des 2019'!F394</f>
        <v>3463000000</v>
      </c>
      <c r="Q20" s="42"/>
      <c r="R20" s="55">
        <f>'[2]Tabel 4 investasi Jan-Juni 2020'!D150</f>
        <v>3600000000</v>
      </c>
      <c r="S20" s="56"/>
      <c r="T20" s="61"/>
      <c r="V20" s="5">
        <v>16</v>
      </c>
      <c r="Z20" s="6"/>
      <c r="AA20" s="46"/>
    </row>
    <row r="21" spans="1:27" ht="20.100000000000001" customHeight="1">
      <c r="A21" s="32">
        <v>16</v>
      </c>
      <c r="B21" s="67" t="s">
        <v>31</v>
      </c>
      <c r="C21" s="68">
        <f>70000+1340000</f>
        <v>1410000</v>
      </c>
      <c r="D21" s="68">
        <v>101161796950</v>
      </c>
      <c r="E21" s="68">
        <v>180201606188</v>
      </c>
      <c r="F21" s="68">
        <f>3115000000+2800000000+1250000000+350000000+750000000+950000000+400000000+350000000+300000000+2000000000+3915000000+100000000+254385638</f>
        <v>16534385638</v>
      </c>
      <c r="G21" s="69"/>
      <c r="H21" s="36">
        <v>0</v>
      </c>
      <c r="I21" s="36">
        <v>0</v>
      </c>
      <c r="J21" s="37">
        <v>11270000000</v>
      </c>
      <c r="K21" s="38"/>
      <c r="L21" s="39">
        <v>6506000000</v>
      </c>
      <c r="M21" s="40"/>
      <c r="N21" s="39">
        <v>156525817000</v>
      </c>
      <c r="O21" s="40"/>
      <c r="P21" s="41">
        <f>'[1]Tabel 11 Persektor Jan-Des 2019'!F458</f>
        <v>41978900000</v>
      </c>
      <c r="Q21" s="42"/>
      <c r="R21" s="55">
        <f>'[2]Tabel 4 investasi Jan-Juni 2020'!D151+'[2]Tabel 4 investasi Jan-Juni 2020'!D152</f>
        <v>14410000000</v>
      </c>
      <c r="S21" s="56"/>
      <c r="T21" s="61"/>
      <c r="V21" s="5">
        <v>17.5</v>
      </c>
      <c r="AA21" s="46"/>
    </row>
    <row r="22" spans="1:27" s="84" customFormat="1" ht="20.100000000000001" customHeight="1" thickBot="1">
      <c r="A22" s="70">
        <v>17</v>
      </c>
      <c r="B22" s="71" t="s">
        <v>32</v>
      </c>
      <c r="C22" s="72"/>
      <c r="D22" s="72"/>
      <c r="E22" s="72"/>
      <c r="F22" s="72"/>
      <c r="G22" s="73"/>
      <c r="H22" s="74">
        <f>700000000+370000000+225000000+300000000+300000000+300000000+250000000+94300000000+250000000+700000000+725000000+450000000+540000000</f>
        <v>99410000000</v>
      </c>
      <c r="I22" s="74">
        <f>450000000+725000000+3000000000+1000000000+1000000000+1000000000+500000000+400000000+450000000+100000000+100000000+575000000+500000000+900000000+900000000+800000000+1000000000+50000000+700000000+450000000+825000000+825000000+350000000+800000000+950000000+650000000+100000000+600000000+750000000+750000000+800000000+800000000+750000000</f>
        <v>23550000000</v>
      </c>
      <c r="J22" s="75">
        <v>5740000000</v>
      </c>
      <c r="K22" s="76"/>
      <c r="L22" s="77">
        <v>2882500000</v>
      </c>
      <c r="M22" s="78"/>
      <c r="N22" s="39">
        <v>44359165818</v>
      </c>
      <c r="O22" s="40"/>
      <c r="P22" s="79">
        <f>'[1]Tabel 11 Persektor Jan-Des 2019'!F480</f>
        <v>5170000000</v>
      </c>
      <c r="Q22" s="80"/>
      <c r="R22" s="81">
        <f>'[2]Tabel 4 investasi Jan-Juni 2020'!D153+'[2]Tabel 4 investasi Jan-Juni 2020'!D154+'[2]Tabel 4 investasi Jan-Juni 2020'!D155+'[2]Tabel 4 investasi Jan-Juni 2020'!D156</f>
        <v>2175000000</v>
      </c>
      <c r="S22" s="82"/>
      <c r="T22" s="83"/>
      <c r="V22" s="65" t="s">
        <v>33</v>
      </c>
      <c r="X22" s="85" t="s">
        <v>34</v>
      </c>
      <c r="Z22" s="46"/>
      <c r="AA22" s="46"/>
    </row>
    <row r="23" spans="1:27" ht="20.100000000000001" customHeight="1">
      <c r="A23" s="86"/>
      <c r="B23" s="87" t="s">
        <v>35</v>
      </c>
      <c r="C23" s="88">
        <f>SUM(C6:C21)</f>
        <v>1410000</v>
      </c>
      <c r="D23" s="88">
        <f>SUM(D6:D21)</f>
        <v>101161796950</v>
      </c>
      <c r="E23" s="88">
        <f>SUM(E6:E21)</f>
        <v>180201606188</v>
      </c>
      <c r="F23" s="88">
        <f>SUM(F6:F22)</f>
        <v>16534385638</v>
      </c>
      <c r="G23" s="89"/>
      <c r="H23" s="90">
        <f>H6+H7+H8+H9+H11+H12+H15+H16+H21</f>
        <v>4539458289995</v>
      </c>
      <c r="I23" s="90">
        <f>I6+I7+I8+I9+I11+I12+I15+I16+I21</f>
        <v>997167768218</v>
      </c>
      <c r="J23" s="91">
        <f>SUM(J6:J22)</f>
        <v>698246329548</v>
      </c>
      <c r="K23" s="92"/>
      <c r="L23" s="93">
        <f>(L6+L8+L9+L10+L11+L12+L13+L14+L15+L16+L17+L18+L20+L21+L22)</f>
        <v>846160215950</v>
      </c>
      <c r="M23" s="94"/>
      <c r="N23" s="95">
        <f>SUM(N6:O22)</f>
        <v>2007508793216</v>
      </c>
      <c r="O23" s="96"/>
      <c r="P23" s="97">
        <f>(P6+P8+P9+P10+P11+P12+P13+P14+P15+P16+P17+P18+P20+P21+P22)</f>
        <v>1704927126400</v>
      </c>
      <c r="Q23" s="98"/>
      <c r="R23" s="97">
        <f>SUM(R6:R22)</f>
        <v>990097851586</v>
      </c>
      <c r="S23" s="99"/>
      <c r="T23" s="45" t="s">
        <v>36</v>
      </c>
      <c r="X23" s="100">
        <f>U34</f>
        <v>17492441754264</v>
      </c>
      <c r="Z23" s="46"/>
      <c r="AA23" s="46"/>
    </row>
    <row r="24" spans="1:27" ht="20.100000000000001" customHeight="1">
      <c r="A24" s="86"/>
      <c r="B24" s="101" t="s">
        <v>37</v>
      </c>
      <c r="C24" s="88">
        <v>160000000</v>
      </c>
      <c r="D24" s="88">
        <v>200000000000</v>
      </c>
      <c r="E24" s="88">
        <v>300000000000</v>
      </c>
      <c r="F24" s="88">
        <v>320000000000</v>
      </c>
      <c r="G24" s="89"/>
      <c r="H24" s="90">
        <f>560000000000</f>
        <v>560000000000</v>
      </c>
      <c r="I24" s="90">
        <f>625000000000</f>
        <v>625000000000</v>
      </c>
      <c r="J24" s="102">
        <v>981171365830</v>
      </c>
      <c r="K24" s="103"/>
      <c r="L24" s="104">
        <v>1128347070704</v>
      </c>
      <c r="M24" s="105"/>
      <c r="N24" s="106">
        <v>1297599131310</v>
      </c>
      <c r="O24" s="107"/>
      <c r="P24" s="104">
        <v>1492239001007</v>
      </c>
      <c r="Q24" s="108"/>
      <c r="R24" s="104">
        <v>2208259672538</v>
      </c>
      <c r="S24" s="105"/>
      <c r="T24" s="109" t="s">
        <v>38</v>
      </c>
      <c r="X24" s="100">
        <f>SUM(J24:Q24)</f>
        <v>4899356568851</v>
      </c>
      <c r="AA24" s="46"/>
    </row>
    <row r="25" spans="1:27" ht="20.100000000000001" customHeight="1">
      <c r="A25" s="86"/>
      <c r="B25" s="101" t="s">
        <v>39</v>
      </c>
      <c r="C25" s="88">
        <f>C23/C24*100</f>
        <v>0.88124999999999987</v>
      </c>
      <c r="D25" s="88">
        <f>D23/D24*100</f>
        <v>50.580898475000005</v>
      </c>
      <c r="E25" s="110">
        <f>E23/E24*100</f>
        <v>60.067202062666667</v>
      </c>
      <c r="F25" s="111">
        <f>F23/F24*100</f>
        <v>5.1669955118750002</v>
      </c>
      <c r="G25" s="112"/>
      <c r="H25" s="113">
        <f>H23/H24*100</f>
        <v>810.61755178482144</v>
      </c>
      <c r="I25" s="113">
        <f>I23/I24*100</f>
        <v>159.54684291487999</v>
      </c>
      <c r="J25" s="114"/>
      <c r="K25" s="115">
        <f>J23/J24*100</f>
        <v>71.164564505746057</v>
      </c>
      <c r="L25" s="116"/>
      <c r="M25" s="117">
        <f>L23/L24*100</f>
        <v>74.991129761347494</v>
      </c>
      <c r="N25" s="116"/>
      <c r="O25" s="117">
        <f>N23/N24*100</f>
        <v>154.70947419557115</v>
      </c>
      <c r="P25" s="116"/>
      <c r="Q25" s="118">
        <f>P23/P24*100</f>
        <v>114.25295312945667</v>
      </c>
      <c r="R25" s="116"/>
      <c r="S25" s="117">
        <f>R23/R24*100</f>
        <v>44.836115240381105</v>
      </c>
      <c r="T25" s="119" t="s">
        <v>40</v>
      </c>
      <c r="X25" s="120">
        <f>X23/X24*100%</f>
        <v>3.5703549044535734</v>
      </c>
      <c r="Z25" s="121"/>
      <c r="AA25" s="46"/>
    </row>
    <row r="26" spans="1:27">
      <c r="A26" s="86"/>
      <c r="B26" s="122" t="s">
        <v>41</v>
      </c>
      <c r="C26" s="88">
        <v>256</v>
      </c>
      <c r="D26" s="88">
        <v>273</v>
      </c>
      <c r="E26" s="110">
        <v>160</v>
      </c>
      <c r="F26" s="88">
        <f>279+2+1+1+1+1</f>
        <v>285</v>
      </c>
      <c r="G26" s="89"/>
      <c r="H26" s="123">
        <v>286</v>
      </c>
      <c r="I26" s="123">
        <f>459+11</f>
        <v>470</v>
      </c>
      <c r="J26" s="124" t="s">
        <v>42</v>
      </c>
      <c r="K26" s="125">
        <v>533</v>
      </c>
      <c r="L26" s="126" t="s">
        <v>43</v>
      </c>
      <c r="M26" s="127">
        <v>538</v>
      </c>
      <c r="N26" s="126" t="s">
        <v>44</v>
      </c>
      <c r="O26" s="128">
        <v>542</v>
      </c>
      <c r="P26" s="126" t="s">
        <v>45</v>
      </c>
      <c r="Q26" s="129">
        <f>'[1]Tabel 1 Desember 2019'!C37</f>
        <v>373</v>
      </c>
      <c r="R26" s="130" t="s">
        <v>46</v>
      </c>
      <c r="S26" s="127">
        <f>'[2]Tabel 1 Juni 2020'!C243</f>
        <v>117</v>
      </c>
      <c r="T26" s="131">
        <f>T43</f>
        <v>0.87890793545139356</v>
      </c>
      <c r="V26" s="132"/>
      <c r="X26" s="133"/>
      <c r="AA26" s="46"/>
    </row>
    <row r="27" spans="1:27">
      <c r="A27" s="86"/>
      <c r="B27" s="122"/>
      <c r="C27" s="88"/>
      <c r="D27" s="88"/>
      <c r="E27" s="110"/>
      <c r="F27" s="88"/>
      <c r="G27" s="89"/>
      <c r="H27" s="123"/>
      <c r="I27" s="123"/>
      <c r="J27" s="124" t="s">
        <v>47</v>
      </c>
      <c r="K27" s="125"/>
      <c r="L27" s="126" t="s">
        <v>48</v>
      </c>
      <c r="M27" s="127"/>
      <c r="N27" s="126" t="s">
        <v>49</v>
      </c>
      <c r="O27" s="128"/>
      <c r="P27" s="126" t="s">
        <v>50</v>
      </c>
      <c r="Q27" s="129"/>
      <c r="R27" s="130" t="s">
        <v>51</v>
      </c>
      <c r="S27" s="127"/>
      <c r="T27" s="134"/>
      <c r="X27" s="135">
        <v>43556</v>
      </c>
      <c r="AA27" s="46"/>
    </row>
    <row r="28" spans="1:27">
      <c r="A28" s="86"/>
      <c r="B28" s="101" t="s">
        <v>52</v>
      </c>
      <c r="C28" s="88">
        <v>2403489</v>
      </c>
      <c r="D28" s="88">
        <v>1715755</v>
      </c>
      <c r="E28" s="110">
        <v>549500.6</v>
      </c>
      <c r="F28" s="88">
        <f>726679+305+5759+193+700+1000+2000+12000+197+42000</f>
        <v>790833</v>
      </c>
      <c r="G28" s="89"/>
      <c r="H28" s="90">
        <v>885537.67</v>
      </c>
      <c r="I28" s="90">
        <v>3346368.42</v>
      </c>
      <c r="J28" s="136">
        <v>5611862.0899999999</v>
      </c>
      <c r="K28" s="137"/>
      <c r="L28" s="138">
        <v>1938851.37</v>
      </c>
      <c r="M28" s="139"/>
      <c r="N28" s="140">
        <v>7218915.6100000003</v>
      </c>
      <c r="O28" s="141"/>
      <c r="P28" s="142">
        <f>'[1]Tabel 1 Desember 2019'!E37</f>
        <v>1401363</v>
      </c>
      <c r="Q28" s="143"/>
      <c r="R28" s="144"/>
      <c r="S28" s="145">
        <f>'[2]Tabel 1 Juni 2020'!E243</f>
        <v>834775</v>
      </c>
      <c r="T28" s="146"/>
      <c r="AA28" s="46"/>
    </row>
    <row r="29" spans="1:27">
      <c r="A29" s="86"/>
      <c r="B29" s="101"/>
      <c r="C29" s="88"/>
      <c r="D29" s="88"/>
      <c r="E29" s="110"/>
      <c r="F29" s="88"/>
      <c r="G29" s="89"/>
      <c r="H29" s="90"/>
      <c r="I29" s="90"/>
      <c r="J29" s="147"/>
      <c r="K29" s="148"/>
      <c r="L29" s="149"/>
      <c r="M29" s="112"/>
      <c r="N29" s="149"/>
      <c r="O29" s="112"/>
      <c r="P29" s="149"/>
      <c r="Q29" s="111"/>
      <c r="R29" s="149"/>
      <c r="S29" s="112"/>
      <c r="T29" s="90"/>
      <c r="AA29" s="46"/>
    </row>
    <row r="30" spans="1:27">
      <c r="A30" s="86"/>
      <c r="B30" s="150" t="s">
        <v>53</v>
      </c>
      <c r="C30" s="88"/>
      <c r="D30" s="88"/>
      <c r="E30" s="88"/>
      <c r="F30" s="88"/>
      <c r="G30" s="89" t="s">
        <v>54</v>
      </c>
      <c r="H30" s="151"/>
      <c r="I30" s="151"/>
      <c r="J30" s="102">
        <v>2</v>
      </c>
      <c r="K30" s="103"/>
      <c r="L30" s="104">
        <v>4</v>
      </c>
      <c r="M30" s="105"/>
      <c r="N30" s="106">
        <v>5</v>
      </c>
      <c r="O30" s="107"/>
      <c r="P30" s="152"/>
      <c r="Q30" s="153">
        <f>'[1]Tabel 1 Desember 2019'!F37</f>
        <v>4</v>
      </c>
      <c r="R30" s="152"/>
      <c r="S30" s="154">
        <f>'[2]Tabel 4 investasi Jan-Juni 2020'!F118</f>
        <v>100</v>
      </c>
      <c r="T30" s="155"/>
      <c r="AA30" s="46"/>
    </row>
    <row r="31" spans="1:27" ht="15.75" thickBot="1">
      <c r="A31" s="156"/>
      <c r="B31" s="157"/>
      <c r="C31" s="158">
        <v>447</v>
      </c>
      <c r="D31" s="158">
        <v>2096</v>
      </c>
      <c r="E31" s="158">
        <v>2115</v>
      </c>
      <c r="F31" s="158">
        <f>2098+5+3+6+25</f>
        <v>2137</v>
      </c>
      <c r="G31" s="159" t="s">
        <v>55</v>
      </c>
      <c r="H31" s="151">
        <v>2574</v>
      </c>
      <c r="I31" s="160">
        <v>2346</v>
      </c>
      <c r="J31" s="161">
        <v>3300</v>
      </c>
      <c r="K31" s="162"/>
      <c r="L31" s="163">
        <v>1147</v>
      </c>
      <c r="M31" s="164"/>
      <c r="N31" s="165">
        <v>1492</v>
      </c>
      <c r="O31" s="166"/>
      <c r="P31" s="167"/>
      <c r="Q31" s="168">
        <f>'[1]Tabel 1 Desember 2019'!G37</f>
        <v>2481</v>
      </c>
      <c r="R31" s="169"/>
      <c r="S31" s="170">
        <f>'[2]Tabel 1 Juni 2020'!G243</f>
        <v>22910</v>
      </c>
      <c r="T31" s="171"/>
    </row>
    <row r="32" spans="1:27">
      <c r="H32" s="100"/>
      <c r="I32" s="100"/>
      <c r="J32" s="100"/>
      <c r="K32" s="100"/>
      <c r="L32" s="172"/>
      <c r="M32" s="172"/>
      <c r="N32" s="172"/>
      <c r="O32" s="173"/>
      <c r="P32" s="174"/>
      <c r="Q32" s="175"/>
      <c r="R32" s="173"/>
      <c r="S32" s="173"/>
      <c r="T32" s="173"/>
    </row>
    <row r="33" spans="7:22">
      <c r="O33" s="176"/>
      <c r="Q33" s="176"/>
      <c r="R33" s="176"/>
      <c r="S33" s="176"/>
      <c r="T33" s="177"/>
      <c r="U33" s="178"/>
    </row>
    <row r="34" spans="7:22">
      <c r="J34" s="179" t="e">
        <f>#REF!+J24+L24+N24+P24</f>
        <v>#REF!</v>
      </c>
      <c r="K34" s="179"/>
      <c r="U34" s="178">
        <f>U35+17428189754264</f>
        <v>17492441754264</v>
      </c>
    </row>
    <row r="35" spans="7:22">
      <c r="J35" s="179" t="e">
        <f>#REF!+J23+L23+N23+P23</f>
        <v>#REF!</v>
      </c>
      <c r="K35" s="179"/>
      <c r="L35" s="120" t="e">
        <f>J35/J34</f>
        <v>#REF!</v>
      </c>
      <c r="U35" s="4">
        <f>'[5]Tabel 10 Persektor April 2019'!F667</f>
        <v>64252000000</v>
      </c>
    </row>
    <row r="36" spans="7:22">
      <c r="G36" s="178"/>
    </row>
    <row r="37" spans="7:22">
      <c r="N37" s="180">
        <v>1297599131310</v>
      </c>
      <c r="O37" s="181"/>
    </row>
    <row r="38" spans="7:22">
      <c r="J38" s="4">
        <v>15582486861648</v>
      </c>
      <c r="L38" s="180">
        <v>1128347070704</v>
      </c>
      <c r="M38" s="180"/>
      <c r="N38" s="181"/>
      <c r="O38" s="181"/>
      <c r="P38" s="180">
        <v>1492239001007</v>
      </c>
      <c r="Q38" s="180"/>
      <c r="R38" s="182"/>
      <c r="S38" s="182"/>
      <c r="T38" s="182"/>
      <c r="U38" s="180">
        <v>5752549060877</v>
      </c>
      <c r="V38" s="180"/>
    </row>
    <row r="39" spans="7:22" ht="15.75">
      <c r="T39" s="183">
        <v>44011</v>
      </c>
    </row>
    <row r="40" spans="7:22">
      <c r="T40" s="184">
        <f>J24+L24+N24+P24+R24</f>
        <v>7107616241389</v>
      </c>
    </row>
    <row r="41" spans="7:22" ht="15.75">
      <c r="O41" s="100"/>
      <c r="P41" s="185">
        <f>17389049754264+50900000000</f>
        <v>17439949754264</v>
      </c>
      <c r="Q41" s="185"/>
      <c r="T41" s="186">
        <f>J23+L23+N23+P23+R23</f>
        <v>6246940316700</v>
      </c>
    </row>
    <row r="42" spans="7:22">
      <c r="L42" s="4" t="s">
        <v>56</v>
      </c>
      <c r="O42" s="178"/>
      <c r="T42" s="66"/>
    </row>
    <row r="43" spans="7:22" ht="15.75">
      <c r="L43" s="4">
        <v>300</v>
      </c>
      <c r="T43" s="187">
        <f>T41/T40*100%</f>
        <v>0.87890793545139356</v>
      </c>
    </row>
    <row r="44" spans="7:22">
      <c r="L44" s="4" t="s">
        <v>57</v>
      </c>
    </row>
    <row r="45" spans="7:22">
      <c r="L45" s="4">
        <v>0</v>
      </c>
      <c r="Q45" s="188"/>
      <c r="R45" s="188"/>
      <c r="S45" s="188"/>
      <c r="T45" s="188"/>
      <c r="V45" s="4"/>
    </row>
    <row r="46" spans="7:22">
      <c r="L46" s="4" t="s">
        <v>58</v>
      </c>
    </row>
    <row r="47" spans="7:22">
      <c r="L47" s="4">
        <v>26</v>
      </c>
      <c r="Q47" s="189"/>
      <c r="R47" s="189"/>
      <c r="S47" s="189"/>
      <c r="T47" s="189"/>
    </row>
    <row r="48" spans="7:22">
      <c r="L48" s="4" t="s">
        <v>59</v>
      </c>
    </row>
    <row r="49" spans="12:20">
      <c r="L49" s="4">
        <v>30</v>
      </c>
    </row>
    <row r="54" spans="12:20">
      <c r="Q54" s="190"/>
      <c r="R54" s="190"/>
      <c r="S54" s="190"/>
      <c r="T54" s="190"/>
    </row>
  </sheetData>
  <mergeCells count="149">
    <mergeCell ref="U38:V38"/>
    <mergeCell ref="P41:Q41"/>
    <mergeCell ref="N31:O31"/>
    <mergeCell ref="J34:K34"/>
    <mergeCell ref="J35:K35"/>
    <mergeCell ref="N37:O38"/>
    <mergeCell ref="L38:M38"/>
    <mergeCell ref="P38:Q38"/>
    <mergeCell ref="J28:K28"/>
    <mergeCell ref="L28:M28"/>
    <mergeCell ref="N28:O28"/>
    <mergeCell ref="P28:Q28"/>
    <mergeCell ref="B30:B31"/>
    <mergeCell ref="J30:K30"/>
    <mergeCell ref="L30:M30"/>
    <mergeCell ref="N30:O30"/>
    <mergeCell ref="J31:K31"/>
    <mergeCell ref="L31:M31"/>
    <mergeCell ref="P24:Q24"/>
    <mergeCell ref="R24:S24"/>
    <mergeCell ref="B26:B27"/>
    <mergeCell ref="H26:H27"/>
    <mergeCell ref="I26:I27"/>
    <mergeCell ref="K26:K27"/>
    <mergeCell ref="M26:M27"/>
    <mergeCell ref="O26:O27"/>
    <mergeCell ref="Q26:Q27"/>
    <mergeCell ref="S26:S27"/>
    <mergeCell ref="R22:S22"/>
    <mergeCell ref="A23:A31"/>
    <mergeCell ref="J23:K23"/>
    <mergeCell ref="L23:M23"/>
    <mergeCell ref="N23:O23"/>
    <mergeCell ref="P23:Q23"/>
    <mergeCell ref="R23:S23"/>
    <mergeCell ref="J24:K24"/>
    <mergeCell ref="L24:M24"/>
    <mergeCell ref="N24:O24"/>
    <mergeCell ref="J21:K21"/>
    <mergeCell ref="L21:M21"/>
    <mergeCell ref="N21:O21"/>
    <mergeCell ref="P21:Q21"/>
    <mergeCell ref="R21:S21"/>
    <mergeCell ref="B22:G22"/>
    <mergeCell ref="J22:K22"/>
    <mergeCell ref="L22:M22"/>
    <mergeCell ref="N22:O22"/>
    <mergeCell ref="P22:Q22"/>
    <mergeCell ref="B20:G20"/>
    <mergeCell ref="J20:K20"/>
    <mergeCell ref="L20:M20"/>
    <mergeCell ref="N20:O20"/>
    <mergeCell ref="P20:Q20"/>
    <mergeCell ref="R20:S20"/>
    <mergeCell ref="B19:G19"/>
    <mergeCell ref="J19:K19"/>
    <mergeCell ref="L19:M19"/>
    <mergeCell ref="N19:O19"/>
    <mergeCell ref="P19:Q19"/>
    <mergeCell ref="R19:S19"/>
    <mergeCell ref="B18:G18"/>
    <mergeCell ref="J18:K18"/>
    <mergeCell ref="L18:M18"/>
    <mergeCell ref="N18:O18"/>
    <mergeCell ref="P18:Q18"/>
    <mergeCell ref="R18:S18"/>
    <mergeCell ref="B17:G17"/>
    <mergeCell ref="J17:K17"/>
    <mergeCell ref="L17:M17"/>
    <mergeCell ref="N17:O17"/>
    <mergeCell ref="P17:Q17"/>
    <mergeCell ref="R17:S17"/>
    <mergeCell ref="B16:G16"/>
    <mergeCell ref="J16:K16"/>
    <mergeCell ref="L16:M16"/>
    <mergeCell ref="N16:O16"/>
    <mergeCell ref="P16:Q16"/>
    <mergeCell ref="R16:S16"/>
    <mergeCell ref="B15:G15"/>
    <mergeCell ref="J15:K15"/>
    <mergeCell ref="L15:M15"/>
    <mergeCell ref="N15:O15"/>
    <mergeCell ref="P15:Q15"/>
    <mergeCell ref="R15:S15"/>
    <mergeCell ref="B14:G14"/>
    <mergeCell ref="J14:K14"/>
    <mergeCell ref="L14:M14"/>
    <mergeCell ref="N14:O14"/>
    <mergeCell ref="P14:Q14"/>
    <mergeCell ref="R14:S14"/>
    <mergeCell ref="B13:G13"/>
    <mergeCell ref="J13:K13"/>
    <mergeCell ref="L13:M13"/>
    <mergeCell ref="N13:O13"/>
    <mergeCell ref="P13:Q13"/>
    <mergeCell ref="R13:S13"/>
    <mergeCell ref="B12:G12"/>
    <mergeCell ref="J12:K12"/>
    <mergeCell ref="L12:M12"/>
    <mergeCell ref="N12:O12"/>
    <mergeCell ref="P12:Q12"/>
    <mergeCell ref="R12:S12"/>
    <mergeCell ref="B11:G11"/>
    <mergeCell ref="J11:K11"/>
    <mergeCell ref="L11:M11"/>
    <mergeCell ref="N11:O11"/>
    <mergeCell ref="P11:Q11"/>
    <mergeCell ref="R11:S11"/>
    <mergeCell ref="B10:G10"/>
    <mergeCell ref="J10:K10"/>
    <mergeCell ref="L10:M10"/>
    <mergeCell ref="N10:O10"/>
    <mergeCell ref="P10:Q10"/>
    <mergeCell ref="R10:S10"/>
    <mergeCell ref="B9:G9"/>
    <mergeCell ref="J9:K9"/>
    <mergeCell ref="L9:M9"/>
    <mergeCell ref="N9:O9"/>
    <mergeCell ref="P9:Q9"/>
    <mergeCell ref="R9:S9"/>
    <mergeCell ref="B8:G8"/>
    <mergeCell ref="J8:K8"/>
    <mergeCell ref="L8:M8"/>
    <mergeCell ref="N8:O8"/>
    <mergeCell ref="P8:Q8"/>
    <mergeCell ref="R8:S8"/>
    <mergeCell ref="B7:G7"/>
    <mergeCell ref="J7:K7"/>
    <mergeCell ref="L7:M7"/>
    <mergeCell ref="N7:O7"/>
    <mergeCell ref="P7:Q7"/>
    <mergeCell ref="R7:S7"/>
    <mergeCell ref="R5:S5"/>
    <mergeCell ref="B6:G6"/>
    <mergeCell ref="J6:K6"/>
    <mergeCell ref="L6:M6"/>
    <mergeCell ref="N6:O6"/>
    <mergeCell ref="P6:Q6"/>
    <mergeCell ref="R6:S6"/>
    <mergeCell ref="A1:T1"/>
    <mergeCell ref="A2:T2"/>
    <mergeCell ref="A4:A5"/>
    <mergeCell ref="B4:G5"/>
    <mergeCell ref="J4:S4"/>
    <mergeCell ref="T4:T5"/>
    <mergeCell ref="J5:K5"/>
    <mergeCell ref="L5:M5"/>
    <mergeCell ref="N5:O5"/>
    <mergeCell ref="P5:Q5"/>
  </mergeCells>
  <printOptions horizontalCentered="1"/>
  <pageMargins left="0" right="0" top="0.70866141732283472" bottom="0.59055118110236227" header="0" footer="0"/>
  <pageSetup paperSize="10000" scale="63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 12. 2016 - Juni 2020</vt:lpstr>
      <vt:lpstr>'TABEL 12. 2016 - Juni 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2020-07-09T04:13:54Z</dcterms:created>
  <dcterms:modified xsi:type="dcterms:W3CDTF">2020-07-09T04:15:36Z</dcterms:modified>
</cp:coreProperties>
</file>